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4240" windowHeight="13140" tabRatio="779"/>
  </bookViews>
  <sheets>
    <sheet name="Bìa" sheetId="73" r:id="rId1"/>
    <sheet name="Bieu 1" sheetId="3" r:id="rId2"/>
    <sheet name="Bieu 2" sheetId="71" r:id="rId3"/>
    <sheet name="Bieu 3" sheetId="72" r:id="rId4"/>
    <sheet name="Bieu 4" sheetId="29" r:id="rId5"/>
    <sheet name="Bieu 5" sheetId="70" r:id="rId6"/>
    <sheet name="Bieu 6" sheetId="11" r:id="rId7"/>
    <sheet name="Quy hoach" sheetId="68" state="hidden" r:id="rId8"/>
    <sheet name="00000000" sheetId="30" state="veryHidden" r:id="rId9"/>
  </sheets>
  <definedNames>
    <definedName name="_xlnm.Print_Area" localSheetId="4">'Bieu 4'!$A$1:$I$277</definedName>
    <definedName name="_xlnm.Print_Titles" localSheetId="1">'Bieu 1'!$4:$5</definedName>
    <definedName name="_xlnm.Print_Titles" localSheetId="2">'Bieu 2'!$4:$5</definedName>
    <definedName name="_xlnm.Print_Titles" localSheetId="3">'Bieu 3'!$4:$5</definedName>
    <definedName name="_xlnm.Print_Titles" localSheetId="4">'Bieu 4'!$4:$5</definedName>
    <definedName name="_xlnm.Print_Titles" localSheetId="5">'Bieu 5'!$4:$5</definedName>
    <definedName name="_xlnm.Print_Titles" localSheetId="6">'Bieu 6'!$4:$5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5" i="11" l="1"/>
  <c r="F165" i="11"/>
  <c r="G165" i="11"/>
  <c r="D165" i="11"/>
  <c r="F10" i="70"/>
  <c r="G10" i="70"/>
  <c r="G11" i="70"/>
  <c r="F11" i="70"/>
  <c r="G7" i="70"/>
  <c r="F145" i="11" l="1"/>
  <c r="E145" i="11"/>
  <c r="E140" i="11" s="1"/>
  <c r="D145" i="11"/>
  <c r="D140" i="11" s="1"/>
  <c r="I144" i="11"/>
  <c r="H144" i="11"/>
  <c r="C144" i="11"/>
  <c r="C145" i="11" s="1"/>
  <c r="I143" i="11"/>
  <c r="H143" i="11"/>
  <c r="I142" i="11"/>
  <c r="H142" i="11"/>
  <c r="I141" i="11"/>
  <c r="H141" i="11"/>
  <c r="C141" i="11"/>
  <c r="G140" i="11"/>
  <c r="F140" i="11"/>
  <c r="I137" i="11"/>
  <c r="H137" i="11"/>
  <c r="H145" i="11" l="1"/>
  <c r="H140" i="11"/>
  <c r="I140" i="11"/>
  <c r="I145" i="11"/>
  <c r="G161" i="11" l="1"/>
  <c r="G147" i="11"/>
  <c r="F147" i="11"/>
  <c r="F16" i="72" l="1"/>
  <c r="D7" i="72"/>
  <c r="F35" i="72"/>
  <c r="D27" i="72"/>
  <c r="G217" i="29"/>
  <c r="G207" i="29"/>
  <c r="F214" i="29" l="1"/>
  <c r="F210" i="29" s="1"/>
  <c r="F217" i="29" s="1"/>
  <c r="F204" i="29"/>
  <c r="F200" i="29" s="1"/>
  <c r="F207" i="29" s="1"/>
  <c r="E207" i="29"/>
  <c r="D217" i="29"/>
  <c r="E210" i="29"/>
  <c r="E217" i="29" s="1"/>
  <c r="G210" i="29"/>
  <c r="D210" i="29"/>
  <c r="D207" i="29"/>
  <c r="E200" i="29"/>
  <c r="G200" i="29"/>
  <c r="D200" i="29"/>
  <c r="F25" i="29"/>
  <c r="F26" i="29"/>
  <c r="D25" i="29"/>
  <c r="D26" i="29"/>
  <c r="F19" i="29"/>
  <c r="F18" i="29"/>
  <c r="D18" i="29"/>
  <c r="D19" i="29"/>
  <c r="G186" i="29"/>
  <c r="F192" i="29"/>
  <c r="F188" i="29"/>
  <c r="H18" i="29" l="1"/>
  <c r="D141" i="29"/>
  <c r="E13" i="70" l="1"/>
  <c r="D13" i="70"/>
  <c r="G120" i="11" l="1"/>
  <c r="G126" i="11"/>
  <c r="F126" i="11"/>
  <c r="E126" i="11"/>
  <c r="D126" i="11"/>
  <c r="F120" i="11"/>
  <c r="E120" i="11"/>
  <c r="D120" i="11"/>
  <c r="E7" i="70" l="1"/>
  <c r="F7" i="70"/>
  <c r="D7" i="70"/>
  <c r="C16" i="70"/>
  <c r="C17" i="70" s="1"/>
  <c r="C18" i="70" s="1"/>
  <c r="C11" i="70"/>
  <c r="C12" i="70" s="1"/>
  <c r="C10" i="70"/>
  <c r="E17" i="3"/>
  <c r="F17" i="3"/>
  <c r="G17" i="3"/>
  <c r="D17" i="3"/>
  <c r="G41" i="11" l="1"/>
  <c r="E41" i="11"/>
  <c r="H40" i="11"/>
  <c r="I40" i="11"/>
  <c r="I39" i="11"/>
  <c r="H39" i="11"/>
  <c r="G20" i="11"/>
  <c r="G27" i="11" s="1"/>
  <c r="F20" i="11"/>
  <c r="E20" i="11"/>
  <c r="D20" i="11"/>
  <c r="K22" i="11"/>
  <c r="G237" i="29"/>
  <c r="F237" i="29"/>
  <c r="G46" i="11"/>
  <c r="F46" i="11"/>
  <c r="G25" i="11" l="1"/>
  <c r="G26" i="11"/>
  <c r="E34" i="3"/>
  <c r="F34" i="3"/>
  <c r="G34" i="3"/>
  <c r="D34" i="3"/>
  <c r="E33" i="3"/>
  <c r="F33" i="3"/>
  <c r="G33" i="3"/>
  <c r="D33" i="3"/>
  <c r="E32" i="3"/>
  <c r="F32" i="3"/>
  <c r="D32" i="3"/>
  <c r="E31" i="3"/>
  <c r="F31" i="3"/>
  <c r="G31" i="3"/>
  <c r="D31" i="3"/>
  <c r="F30" i="3"/>
  <c r="E30" i="3"/>
  <c r="G30" i="3"/>
  <c r="D30" i="3"/>
  <c r="E29" i="3"/>
  <c r="F29" i="3"/>
  <c r="G29" i="3"/>
  <c r="D29" i="3"/>
  <c r="E28" i="3"/>
  <c r="F28" i="3"/>
  <c r="G28" i="3"/>
  <c r="D28" i="3"/>
  <c r="E25" i="3"/>
  <c r="F25" i="3"/>
  <c r="G25" i="3"/>
  <c r="D25" i="3"/>
  <c r="E24" i="3"/>
  <c r="F24" i="3"/>
  <c r="G24" i="3"/>
  <c r="D24" i="3"/>
  <c r="F23" i="3"/>
  <c r="G23" i="3"/>
  <c r="E22" i="3"/>
  <c r="F22" i="3"/>
  <c r="G22" i="3"/>
  <c r="D22" i="3"/>
  <c r="E21" i="3"/>
  <c r="F21" i="3"/>
  <c r="G21" i="3"/>
  <c r="D21" i="3"/>
  <c r="F20" i="3"/>
  <c r="G20" i="3"/>
  <c r="G19" i="3"/>
  <c r="F19" i="3"/>
  <c r="E19" i="3"/>
  <c r="D19" i="3"/>
  <c r="E18" i="3"/>
  <c r="F18" i="3"/>
  <c r="G18" i="3"/>
  <c r="D18" i="3"/>
  <c r="E16" i="3"/>
  <c r="F16" i="3"/>
  <c r="G16" i="3"/>
  <c r="D16" i="3"/>
  <c r="I24" i="70"/>
  <c r="I23" i="70"/>
  <c r="I21" i="70"/>
  <c r="I20" i="70"/>
  <c r="I9" i="70"/>
  <c r="I10" i="70"/>
  <c r="G13" i="11"/>
  <c r="G26" i="3" s="1"/>
  <c r="F13" i="11"/>
  <c r="F26" i="3" s="1"/>
  <c r="E13" i="11"/>
  <c r="E26" i="3" s="1"/>
  <c r="D13" i="11"/>
  <c r="D26" i="3" s="1"/>
  <c r="F12" i="11"/>
  <c r="G9" i="11"/>
  <c r="F8" i="11"/>
  <c r="L12" i="11"/>
  <c r="D9" i="11"/>
  <c r="D12" i="11" l="1"/>
  <c r="G12" i="11"/>
  <c r="F15" i="70"/>
  <c r="I8" i="70"/>
  <c r="K10" i="11"/>
  <c r="K13" i="11" s="1"/>
  <c r="L13" i="11" s="1"/>
  <c r="G14" i="70"/>
  <c r="G17" i="70"/>
  <c r="F18" i="70"/>
  <c r="F17" i="70"/>
  <c r="F16" i="70"/>
  <c r="G8" i="11"/>
  <c r="K14" i="11"/>
  <c r="F14" i="70" l="1"/>
  <c r="F13" i="70" s="1"/>
  <c r="G18" i="70"/>
  <c r="G15" i="70"/>
  <c r="G16" i="70"/>
  <c r="I7" i="70"/>
  <c r="G13" i="70" l="1"/>
  <c r="G275" i="29"/>
  <c r="F275" i="29"/>
  <c r="E275" i="29"/>
  <c r="D275" i="29"/>
  <c r="G276" i="29"/>
  <c r="F276" i="29"/>
  <c r="I255" i="29"/>
  <c r="H255" i="29"/>
  <c r="G141" i="29"/>
  <c r="I141" i="29" s="1"/>
  <c r="I144" i="29"/>
  <c r="I143" i="29"/>
  <c r="I145" i="29"/>
  <c r="I142" i="29"/>
  <c r="F141" i="29"/>
  <c r="H141" i="29" s="1"/>
  <c r="E141" i="29"/>
  <c r="G84" i="11" l="1"/>
  <c r="F84" i="11"/>
  <c r="E84" i="11"/>
  <c r="D84" i="11"/>
  <c r="I129" i="11"/>
  <c r="H129" i="11"/>
  <c r="I128" i="11"/>
  <c r="H128" i="11"/>
  <c r="I127" i="11"/>
  <c r="H127" i="11"/>
  <c r="H126" i="11" l="1"/>
  <c r="H84" i="11"/>
  <c r="I126" i="11"/>
  <c r="I124" i="11" l="1"/>
  <c r="H124" i="11"/>
  <c r="I123" i="11"/>
  <c r="H123" i="11"/>
  <c r="I122" i="11"/>
  <c r="H122" i="11"/>
  <c r="I121" i="11"/>
  <c r="H121" i="11"/>
  <c r="H120" i="11"/>
  <c r="I120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6" i="11"/>
  <c r="H106" i="11"/>
  <c r="I105" i="11"/>
  <c r="H105" i="11"/>
  <c r="I104" i="11"/>
  <c r="H104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G93" i="11"/>
  <c r="F93" i="11"/>
  <c r="E93" i="11"/>
  <c r="I93" i="11" s="1"/>
  <c r="D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C85" i="11"/>
  <c r="C86" i="11" s="1"/>
  <c r="C87" i="11" s="1"/>
  <c r="C88" i="11" s="1"/>
  <c r="C89" i="11" s="1"/>
  <c r="C90" i="11" s="1"/>
  <c r="C91" i="11" s="1"/>
  <c r="I84" i="11"/>
  <c r="I83" i="11"/>
  <c r="H83" i="11"/>
  <c r="I82" i="11"/>
  <c r="H82" i="11"/>
  <c r="I81" i="11"/>
  <c r="H81" i="11"/>
  <c r="I80" i="11"/>
  <c r="H80" i="11"/>
  <c r="I79" i="11"/>
  <c r="H79" i="11"/>
  <c r="G78" i="11"/>
  <c r="F78" i="11"/>
  <c r="E78" i="11"/>
  <c r="I78" i="11" s="1"/>
  <c r="D78" i="11"/>
  <c r="H93" i="11" l="1"/>
  <c r="H78" i="11"/>
  <c r="I175" i="29" l="1"/>
  <c r="E175" i="29"/>
  <c r="E276" i="29" s="1"/>
  <c r="D175" i="29"/>
  <c r="I174" i="29"/>
  <c r="H174" i="29"/>
  <c r="I173" i="29"/>
  <c r="H173" i="29"/>
  <c r="I172" i="29"/>
  <c r="H172" i="29"/>
  <c r="I171" i="29"/>
  <c r="H171" i="29"/>
  <c r="I170" i="29"/>
  <c r="H170" i="29"/>
  <c r="I168" i="29"/>
  <c r="E168" i="29"/>
  <c r="D168" i="29"/>
  <c r="H168" i="29" s="1"/>
  <c r="I167" i="29"/>
  <c r="H167" i="29"/>
  <c r="I166" i="29"/>
  <c r="H166" i="29"/>
  <c r="G165" i="29"/>
  <c r="F165" i="29"/>
  <c r="E165" i="29"/>
  <c r="D165" i="29"/>
  <c r="I164" i="29"/>
  <c r="H164" i="29"/>
  <c r="I163" i="29"/>
  <c r="H163" i="29"/>
  <c r="I162" i="29"/>
  <c r="H162" i="29"/>
  <c r="I160" i="29"/>
  <c r="H160" i="29"/>
  <c r="I159" i="29"/>
  <c r="H159" i="29"/>
  <c r="I158" i="29"/>
  <c r="H158" i="29"/>
  <c r="I156" i="29"/>
  <c r="H156" i="29"/>
  <c r="I155" i="29"/>
  <c r="H155" i="29"/>
  <c r="I154" i="29"/>
  <c r="D154" i="29"/>
  <c r="H154" i="29" s="1"/>
  <c r="I153" i="29"/>
  <c r="H153" i="29"/>
  <c r="G151" i="29"/>
  <c r="F151" i="29"/>
  <c r="H151" i="29" s="1"/>
  <c r="I149" i="29"/>
  <c r="H149" i="29"/>
  <c r="I148" i="29"/>
  <c r="H148" i="29"/>
  <c r="I147" i="29"/>
  <c r="H147" i="29"/>
  <c r="I146" i="29"/>
  <c r="H146" i="29"/>
  <c r="H145" i="29"/>
  <c r="H144" i="29"/>
  <c r="H143" i="29"/>
  <c r="H142" i="29"/>
  <c r="I139" i="29"/>
  <c r="H139" i="29"/>
  <c r="I138" i="29"/>
  <c r="H138" i="29"/>
  <c r="I137" i="29"/>
  <c r="H137" i="29"/>
  <c r="I136" i="29"/>
  <c r="H136" i="29"/>
  <c r="I135" i="29"/>
  <c r="H135" i="29"/>
  <c r="I134" i="29"/>
  <c r="H134" i="29"/>
  <c r="I133" i="29"/>
  <c r="H133" i="29"/>
  <c r="I132" i="29"/>
  <c r="H132" i="29"/>
  <c r="I131" i="29"/>
  <c r="H131" i="29"/>
  <c r="I130" i="29"/>
  <c r="H130" i="29"/>
  <c r="I129" i="29"/>
  <c r="H129" i="29"/>
  <c r="G127" i="29"/>
  <c r="F127" i="29"/>
  <c r="H127" i="29" s="1"/>
  <c r="E127" i="29"/>
  <c r="I126" i="29"/>
  <c r="D126" i="29"/>
  <c r="H126" i="29" s="1"/>
  <c r="I125" i="29"/>
  <c r="H125" i="29"/>
  <c r="I123" i="29"/>
  <c r="H123" i="29"/>
  <c r="E123" i="29"/>
  <c r="I122" i="29"/>
  <c r="D122" i="29"/>
  <c r="H122" i="29" s="1"/>
  <c r="I121" i="29"/>
  <c r="H121" i="29"/>
  <c r="I119" i="29"/>
  <c r="H119" i="29"/>
  <c r="I118" i="29"/>
  <c r="E118" i="29"/>
  <c r="D118" i="29"/>
  <c r="H118" i="29" s="1"/>
  <c r="I117" i="29"/>
  <c r="H117" i="29"/>
  <c r="I114" i="29"/>
  <c r="H114" i="29"/>
  <c r="I113" i="29"/>
  <c r="E113" i="29"/>
  <c r="D113" i="29"/>
  <c r="H113" i="29" s="1"/>
  <c r="I112" i="29"/>
  <c r="H112" i="29"/>
  <c r="I109" i="29"/>
  <c r="H109" i="29"/>
  <c r="I108" i="29"/>
  <c r="E108" i="29"/>
  <c r="D108" i="29"/>
  <c r="H108" i="29" s="1"/>
  <c r="I107" i="29"/>
  <c r="H107" i="29"/>
  <c r="I106" i="29"/>
  <c r="H106" i="29"/>
  <c r="I103" i="29"/>
  <c r="H103" i="29"/>
  <c r="G102" i="29"/>
  <c r="F102" i="29"/>
  <c r="H102" i="29" s="1"/>
  <c r="E102" i="29"/>
  <c r="I101" i="29"/>
  <c r="H101" i="29"/>
  <c r="I99" i="29"/>
  <c r="H99" i="29"/>
  <c r="I98" i="29"/>
  <c r="H98" i="29"/>
  <c r="E98" i="29"/>
  <c r="I97" i="29"/>
  <c r="H97" i="29"/>
  <c r="I93" i="29"/>
  <c r="H93" i="29"/>
  <c r="I92" i="29"/>
  <c r="E92" i="29"/>
  <c r="D92" i="29"/>
  <c r="H92" i="29" s="1"/>
  <c r="I91" i="29"/>
  <c r="H91" i="29"/>
  <c r="I90" i="29"/>
  <c r="H90" i="29"/>
  <c r="I88" i="29"/>
  <c r="H88" i="29"/>
  <c r="I87" i="29"/>
  <c r="E87" i="29"/>
  <c r="D87" i="29"/>
  <c r="H87" i="29" s="1"/>
  <c r="I86" i="29"/>
  <c r="H86" i="29"/>
  <c r="I84" i="29"/>
  <c r="H84" i="29"/>
  <c r="I83" i="29"/>
  <c r="E83" i="29"/>
  <c r="D83" i="29"/>
  <c r="H83" i="29" s="1"/>
  <c r="I82" i="29"/>
  <c r="H82" i="29"/>
  <c r="I81" i="29"/>
  <c r="H81" i="29"/>
  <c r="I79" i="29"/>
  <c r="H79" i="29"/>
  <c r="I78" i="29"/>
  <c r="E78" i="29"/>
  <c r="D78" i="29"/>
  <c r="H78" i="29" s="1"/>
  <c r="I77" i="29"/>
  <c r="H77" i="29"/>
  <c r="I75" i="29"/>
  <c r="H75" i="29"/>
  <c r="I74" i="29"/>
  <c r="E74" i="29"/>
  <c r="D74" i="29"/>
  <c r="H74" i="29" s="1"/>
  <c r="I73" i="29"/>
  <c r="H73" i="29"/>
  <c r="I72" i="29"/>
  <c r="H72" i="29"/>
  <c r="I70" i="29"/>
  <c r="H70" i="29"/>
  <c r="E70" i="29"/>
  <c r="E69" i="29" s="1"/>
  <c r="I69" i="29"/>
  <c r="D69" i="29"/>
  <c r="H69" i="29" s="1"/>
  <c r="I68" i="29"/>
  <c r="H68" i="29"/>
  <c r="I66" i="29"/>
  <c r="H66" i="29"/>
  <c r="I65" i="29"/>
  <c r="E65" i="29"/>
  <c r="D65" i="29"/>
  <c r="H65" i="29" s="1"/>
  <c r="I64" i="29"/>
  <c r="H64" i="29"/>
  <c r="I62" i="29"/>
  <c r="H62" i="29"/>
  <c r="I61" i="29"/>
  <c r="E61" i="29"/>
  <c r="D61" i="29"/>
  <c r="H61" i="29" s="1"/>
  <c r="I60" i="29"/>
  <c r="H60" i="29"/>
  <c r="I57" i="29"/>
  <c r="H57" i="29"/>
  <c r="I56" i="29"/>
  <c r="D56" i="29"/>
  <c r="H56" i="29" s="1"/>
  <c r="I55" i="29"/>
  <c r="H55" i="29"/>
  <c r="E55" i="29"/>
  <c r="E56" i="29" s="1"/>
  <c r="I54" i="29"/>
  <c r="H54" i="29"/>
  <c r="I52" i="29"/>
  <c r="H52" i="29"/>
  <c r="I51" i="29"/>
  <c r="D51" i="29"/>
  <c r="H51" i="29" s="1"/>
  <c r="I50" i="29"/>
  <c r="H50" i="29"/>
  <c r="I47" i="29"/>
  <c r="H47" i="29"/>
  <c r="I46" i="29"/>
  <c r="E46" i="29"/>
  <c r="D46" i="29"/>
  <c r="H46" i="29" s="1"/>
  <c r="I45" i="29"/>
  <c r="H45" i="29"/>
  <c r="I43" i="29"/>
  <c r="H43" i="29"/>
  <c r="I42" i="29"/>
  <c r="E42" i="29"/>
  <c r="D42" i="29"/>
  <c r="H42" i="29" s="1"/>
  <c r="I41" i="29"/>
  <c r="H41" i="29"/>
  <c r="I39" i="29"/>
  <c r="H39" i="29"/>
  <c r="I38" i="29"/>
  <c r="E38" i="29"/>
  <c r="D38" i="29"/>
  <c r="H38" i="29" s="1"/>
  <c r="I37" i="29"/>
  <c r="H37" i="29"/>
  <c r="I35" i="29"/>
  <c r="E35" i="29"/>
  <c r="D35" i="29"/>
  <c r="H35" i="29" s="1"/>
  <c r="I34" i="29"/>
  <c r="E34" i="29"/>
  <c r="D34" i="29"/>
  <c r="H34" i="29" s="1"/>
  <c r="I127" i="29" l="1"/>
  <c r="I151" i="29"/>
  <c r="H175" i="29"/>
  <c r="D276" i="29"/>
  <c r="I102" i="29"/>
  <c r="I165" i="29"/>
  <c r="H165" i="29"/>
  <c r="G273" i="29" l="1"/>
  <c r="G262" i="29"/>
  <c r="F262" i="29"/>
  <c r="D260" i="29"/>
  <c r="E260" i="29" s="1"/>
  <c r="F258" i="29"/>
  <c r="G258" i="29" s="1"/>
  <c r="F253" i="29"/>
  <c r="G253" i="29" s="1"/>
  <c r="E253" i="29"/>
  <c r="F251" i="29"/>
  <c r="G251" i="29" s="1"/>
  <c r="E251" i="29"/>
  <c r="F260" i="29" l="1"/>
  <c r="G260" i="29" s="1"/>
  <c r="G34" i="71" l="1"/>
  <c r="F27" i="71"/>
  <c r="F29" i="71"/>
  <c r="G29" i="71" s="1"/>
  <c r="F26" i="71" l="1"/>
  <c r="G26" i="71"/>
  <c r="G24" i="71" s="1"/>
  <c r="E11" i="3"/>
  <c r="D11" i="3"/>
  <c r="G10" i="3" l="1"/>
  <c r="G8" i="3"/>
  <c r="F8" i="3"/>
  <c r="F23" i="72" l="1"/>
  <c r="G23" i="72"/>
  <c r="F24" i="72"/>
  <c r="G24" i="72"/>
  <c r="F25" i="72"/>
  <c r="G25" i="72"/>
  <c r="F49" i="72"/>
  <c r="F10" i="3" s="1"/>
  <c r="F42" i="72"/>
  <c r="G42" i="72"/>
  <c r="F43" i="72"/>
  <c r="G43" i="72"/>
  <c r="F44" i="72"/>
  <c r="G44" i="72"/>
  <c r="F27" i="72" l="1"/>
  <c r="G27" i="72"/>
  <c r="G34" i="72" l="1"/>
  <c r="G234" i="29"/>
  <c r="G235" i="29"/>
  <c r="G173" i="11" l="1"/>
  <c r="G32" i="3" s="1"/>
  <c r="G41" i="72" l="1"/>
  <c r="F26" i="11" l="1"/>
  <c r="F41" i="72"/>
  <c r="F25" i="11"/>
  <c r="F27" i="11"/>
  <c r="F24" i="11" l="1"/>
  <c r="F7" i="72" l="1"/>
  <c r="F6" i="70" s="1"/>
  <c r="G7" i="72"/>
  <c r="F47" i="71"/>
  <c r="G47" i="71" s="1"/>
  <c r="F46" i="71"/>
  <c r="G46" i="71" s="1"/>
  <c r="G16" i="72" l="1"/>
  <c r="G6" i="70"/>
  <c r="F20" i="72"/>
  <c r="F17" i="72"/>
  <c r="F22" i="72"/>
  <c r="F21" i="72"/>
  <c r="F15" i="72"/>
  <c r="F19" i="72"/>
  <c r="F18" i="72"/>
  <c r="G22" i="72"/>
  <c r="G19" i="72"/>
  <c r="G17" i="72"/>
  <c r="G18" i="72"/>
  <c r="G20" i="72"/>
  <c r="G21" i="72"/>
  <c r="F43" i="71"/>
  <c r="G43" i="71" s="1"/>
  <c r="F42" i="71"/>
  <c r="F12" i="3" s="1"/>
  <c r="F21" i="71"/>
  <c r="G21" i="71"/>
  <c r="F44" i="71" l="1"/>
  <c r="G42" i="71"/>
  <c r="G15" i="72"/>
  <c r="F9" i="71"/>
  <c r="F17" i="71" s="1"/>
  <c r="G9" i="71"/>
  <c r="G17" i="71" s="1"/>
  <c r="F7" i="71"/>
  <c r="G7" i="71"/>
  <c r="G40" i="71" l="1"/>
  <c r="G13" i="3"/>
  <c r="F40" i="71"/>
  <c r="F13" i="3"/>
  <c r="G12" i="3"/>
  <c r="G44" i="71"/>
  <c r="E158" i="11"/>
  <c r="E23" i="3" s="1"/>
  <c r="D158" i="11"/>
  <c r="D23" i="3" s="1"/>
  <c r="E156" i="11"/>
  <c r="D156" i="11"/>
  <c r="E147" i="11"/>
  <c r="D147" i="11"/>
  <c r="E46" i="11"/>
  <c r="E20" i="3" s="1"/>
  <c r="D46" i="11"/>
  <c r="D20" i="3" s="1"/>
  <c r="E25" i="11"/>
  <c r="D27" i="11"/>
  <c r="E9" i="11"/>
  <c r="D24" i="70"/>
  <c r="E12" i="70"/>
  <c r="E11" i="70"/>
  <c r="E10" i="70"/>
  <c r="E14" i="70" s="1"/>
  <c r="D18" i="70"/>
  <c r="E235" i="29"/>
  <c r="E14" i="29" s="1"/>
  <c r="E234" i="29"/>
  <c r="E10" i="29" s="1"/>
  <c r="D192" i="29"/>
  <c r="E192" i="29" s="1"/>
  <c r="D189" i="29"/>
  <c r="E184" i="29"/>
  <c r="D184" i="29"/>
  <c r="E182" i="29"/>
  <c r="D182" i="29"/>
  <c r="E178" i="29"/>
  <c r="D178" i="29"/>
  <c r="D24" i="29"/>
  <c r="E22" i="29"/>
  <c r="E21" i="29"/>
  <c r="E19" i="29"/>
  <c r="E18" i="29"/>
  <c r="D17" i="29"/>
  <c r="D14" i="29"/>
  <c r="D10" i="29"/>
  <c r="E44" i="72"/>
  <c r="D44" i="72"/>
  <c r="E43" i="72"/>
  <c r="D43" i="72"/>
  <c r="E42" i="72"/>
  <c r="D42" i="72"/>
  <c r="E27" i="72"/>
  <c r="E41" i="72" s="1"/>
  <c r="F34" i="72"/>
  <c r="E25" i="72"/>
  <c r="D25" i="72"/>
  <c r="E24" i="72"/>
  <c r="D24" i="72"/>
  <c r="E23" i="72"/>
  <c r="D23" i="72"/>
  <c r="E17" i="72"/>
  <c r="E7" i="72"/>
  <c r="D17" i="72"/>
  <c r="E44" i="71"/>
  <c r="D44" i="71"/>
  <c r="E29" i="71"/>
  <c r="D29" i="71"/>
  <c r="E27" i="71"/>
  <c r="D27" i="71"/>
  <c r="E21" i="71"/>
  <c r="E7" i="71" s="1"/>
  <c r="D21" i="71"/>
  <c r="E9" i="71"/>
  <c r="E17" i="71" s="1"/>
  <c r="D8" i="71"/>
  <c r="D9" i="71" s="1"/>
  <c r="D17" i="71" s="1"/>
  <c r="E12" i="11" l="1"/>
  <c r="D180" i="29"/>
  <c r="D188" i="29"/>
  <c r="E17" i="70"/>
  <c r="E22" i="72"/>
  <c r="E26" i="71"/>
  <c r="E18" i="72"/>
  <c r="D7" i="71"/>
  <c r="D40" i="71" s="1"/>
  <c r="E40" i="71"/>
  <c r="D23" i="29"/>
  <c r="D12" i="29" s="1"/>
  <c r="D16" i="29"/>
  <c r="D8" i="29" s="1"/>
  <c r="D18" i="72"/>
  <c r="D19" i="72"/>
  <c r="D25" i="11"/>
  <c r="D26" i="71"/>
  <c r="E19" i="72"/>
  <c r="D26" i="11"/>
  <c r="E26" i="11"/>
  <c r="E18" i="70"/>
  <c r="D14" i="70"/>
  <c r="E27" i="11"/>
  <c r="E8" i="11"/>
  <c r="D41" i="72"/>
  <c r="E17" i="29"/>
  <c r="E16" i="29" s="1"/>
  <c r="E8" i="29" s="1"/>
  <c r="E15" i="70"/>
  <c r="D15" i="70"/>
  <c r="E16" i="70"/>
  <c r="D17" i="70"/>
  <c r="D16" i="70"/>
  <c r="E183" i="29"/>
  <c r="E181" i="29" s="1"/>
  <c r="E13" i="29" s="1"/>
  <c r="E190" i="29"/>
  <c r="D183" i="29"/>
  <c r="D181" i="29" s="1"/>
  <c r="E20" i="72"/>
  <c r="E21" i="72"/>
  <c r="D16" i="72"/>
  <c r="D22" i="72"/>
  <c r="D20" i="72"/>
  <c r="D21" i="72"/>
  <c r="E16" i="72"/>
  <c r="D6" i="70"/>
  <c r="E6" i="70"/>
  <c r="D13" i="29" l="1"/>
  <c r="D11" i="29" s="1"/>
  <c r="E15" i="72"/>
  <c r="E24" i="11"/>
  <c r="D24" i="11"/>
  <c r="D15" i="72"/>
  <c r="E188" i="29"/>
  <c r="D179" i="29"/>
  <c r="D177" i="29" s="1"/>
  <c r="D9" i="29" s="1"/>
  <c r="D7" i="29" s="1"/>
  <c r="E179" i="29" l="1"/>
  <c r="E186" i="29"/>
  <c r="C31" i="3" l="1"/>
  <c r="H8" i="71"/>
  <c r="H10" i="71"/>
  <c r="H11" i="71"/>
  <c r="H12" i="71"/>
  <c r="H13" i="71"/>
  <c r="H14" i="71"/>
  <c r="H15" i="71"/>
  <c r="H16" i="71"/>
  <c r="H18" i="71"/>
  <c r="H19" i="71"/>
  <c r="H20" i="71"/>
  <c r="H22" i="71"/>
  <c r="H23" i="71"/>
  <c r="I212" i="29" l="1"/>
  <c r="I213" i="29"/>
  <c r="I203" i="29"/>
  <c r="I202" i="29"/>
  <c r="B19" i="3" l="1"/>
  <c r="I30" i="29" l="1"/>
  <c r="H27" i="29" l="1"/>
  <c r="E23" i="29" l="1"/>
  <c r="E12" i="29" s="1"/>
  <c r="E11" i="29" s="1"/>
  <c r="F24" i="29"/>
  <c r="G14" i="3" l="1"/>
  <c r="F14" i="3"/>
  <c r="F17" i="29"/>
  <c r="H258" i="29" l="1"/>
  <c r="I258" i="29"/>
  <c r="C258" i="29"/>
  <c r="I273" i="29" l="1"/>
  <c r="H273" i="29"/>
  <c r="I272" i="29"/>
  <c r="H272" i="29"/>
  <c r="I269" i="29"/>
  <c r="H269" i="29"/>
  <c r="I267" i="29"/>
  <c r="H267" i="29"/>
  <c r="I266" i="29"/>
  <c r="H266" i="29"/>
  <c r="I265" i="29"/>
  <c r="H265" i="29"/>
  <c r="I264" i="29"/>
  <c r="H264" i="29"/>
  <c r="I263" i="29"/>
  <c r="H263" i="29"/>
  <c r="I262" i="29"/>
  <c r="H262" i="29"/>
  <c r="I261" i="29"/>
  <c r="H261" i="29"/>
  <c r="I259" i="29"/>
  <c r="H259" i="29"/>
  <c r="I260" i="29"/>
  <c r="H260" i="29"/>
  <c r="H256" i="29"/>
  <c r="I256" i="29"/>
  <c r="I254" i="29"/>
  <c r="H254" i="29"/>
  <c r="I253" i="29"/>
  <c r="H253" i="29"/>
  <c r="I252" i="29"/>
  <c r="H252" i="29"/>
  <c r="H251" i="29"/>
  <c r="I251" i="29"/>
  <c r="I249" i="29"/>
  <c r="H249" i="29"/>
  <c r="I248" i="29"/>
  <c r="H248" i="29"/>
  <c r="I247" i="29"/>
  <c r="H247" i="29"/>
  <c r="C244" i="29"/>
  <c r="H21" i="70" l="1"/>
  <c r="H23" i="70"/>
  <c r="H20" i="70"/>
  <c r="H236" i="29"/>
  <c r="I236" i="29"/>
  <c r="H221" i="29"/>
  <c r="I221" i="29"/>
  <c r="H222" i="29"/>
  <c r="I222" i="29"/>
  <c r="H223" i="29"/>
  <c r="I223" i="29"/>
  <c r="H224" i="29"/>
  <c r="I224" i="29"/>
  <c r="H225" i="29"/>
  <c r="I225" i="29"/>
  <c r="H226" i="29"/>
  <c r="I226" i="29"/>
  <c r="H227" i="29"/>
  <c r="I227" i="29"/>
  <c r="H228" i="29"/>
  <c r="I228" i="29"/>
  <c r="H229" i="29"/>
  <c r="I229" i="29"/>
  <c r="H230" i="29"/>
  <c r="I230" i="29"/>
  <c r="H231" i="29"/>
  <c r="I231" i="29"/>
  <c r="H24" i="70" l="1"/>
  <c r="I23" i="71"/>
  <c r="I58" i="11" l="1"/>
  <c r="H58" i="11"/>
  <c r="I52" i="11"/>
  <c r="H52" i="11"/>
  <c r="I51" i="11"/>
  <c r="H51" i="11"/>
  <c r="I50" i="11"/>
  <c r="H50" i="11"/>
  <c r="I49" i="11"/>
  <c r="H49" i="11"/>
  <c r="I48" i="11"/>
  <c r="H48" i="11"/>
  <c r="C48" i="11"/>
  <c r="H46" i="11" l="1"/>
  <c r="I46" i="11"/>
  <c r="H154" i="11" l="1"/>
  <c r="I154" i="11"/>
  <c r="H155" i="11"/>
  <c r="I155" i="11"/>
  <c r="H157" i="11"/>
  <c r="I157" i="11"/>
  <c r="H30" i="29"/>
  <c r="C275" i="29"/>
  <c r="H237" i="29"/>
  <c r="I237" i="29"/>
  <c r="H238" i="29"/>
  <c r="I238" i="29"/>
  <c r="H239" i="29"/>
  <c r="I239" i="29"/>
  <c r="H9" i="70"/>
  <c r="I19" i="29"/>
  <c r="G26" i="29" s="1"/>
  <c r="G14" i="29"/>
  <c r="I234" i="29"/>
  <c r="H235" i="29"/>
  <c r="H234" i="29"/>
  <c r="I218" i="29"/>
  <c r="I209" i="29"/>
  <c r="I208" i="29"/>
  <c r="F182" i="29"/>
  <c r="G182" i="29"/>
  <c r="F178" i="29"/>
  <c r="G178" i="29"/>
  <c r="H206" i="29"/>
  <c r="I206" i="29"/>
  <c r="H207" i="29"/>
  <c r="H208" i="29"/>
  <c r="H209" i="29"/>
  <c r="H216" i="29"/>
  <c r="I216" i="29"/>
  <c r="H217" i="29"/>
  <c r="H218" i="29"/>
  <c r="H219" i="29"/>
  <c r="I219" i="29"/>
  <c r="H213" i="29"/>
  <c r="H212" i="29"/>
  <c r="H203" i="29"/>
  <c r="H202" i="29"/>
  <c r="I193" i="29"/>
  <c r="H193" i="29"/>
  <c r="I191" i="29"/>
  <c r="H191" i="29"/>
  <c r="I187" i="29"/>
  <c r="H187" i="29"/>
  <c r="H210" i="29"/>
  <c r="H200" i="29"/>
  <c r="H29" i="29"/>
  <c r="H22" i="29"/>
  <c r="I21" i="29"/>
  <c r="I20" i="29"/>
  <c r="I22" i="29"/>
  <c r="H19" i="29"/>
  <c r="F16" i="29"/>
  <c r="F8" i="29" s="1"/>
  <c r="H17" i="29"/>
  <c r="H20" i="29"/>
  <c r="H21" i="29"/>
  <c r="H28" i="29"/>
  <c r="F14" i="29"/>
  <c r="F10" i="29"/>
  <c r="H186" i="29"/>
  <c r="I33" i="72"/>
  <c r="G40" i="72" s="1"/>
  <c r="H33" i="72"/>
  <c r="F40" i="72" s="1"/>
  <c r="I32" i="72"/>
  <c r="G39" i="72" s="1"/>
  <c r="H32" i="72"/>
  <c r="F39" i="72" s="1"/>
  <c r="I31" i="72"/>
  <c r="G38" i="72" s="1"/>
  <c r="H31" i="72"/>
  <c r="F38" i="72" s="1"/>
  <c r="I30" i="72"/>
  <c r="G37" i="72" s="1"/>
  <c r="H30" i="72"/>
  <c r="F37" i="72" s="1"/>
  <c r="I29" i="72"/>
  <c r="G36" i="72" s="1"/>
  <c r="H29" i="72"/>
  <c r="F36" i="72" s="1"/>
  <c r="I28" i="72"/>
  <c r="G35" i="72" s="1"/>
  <c r="H28" i="72"/>
  <c r="C37" i="72"/>
  <c r="C38" i="72" s="1"/>
  <c r="C18" i="72"/>
  <c r="C19" i="72" s="1"/>
  <c r="H27" i="72"/>
  <c r="F7" i="3" s="1"/>
  <c r="I18" i="29"/>
  <c r="H47" i="71"/>
  <c r="I46" i="71"/>
  <c r="H43" i="71"/>
  <c r="I43" i="71"/>
  <c r="H42" i="71"/>
  <c r="C28" i="72"/>
  <c r="C29" i="72" s="1"/>
  <c r="C8" i="72"/>
  <c r="C9" i="72" s="1"/>
  <c r="H184" i="11"/>
  <c r="I184" i="11"/>
  <c r="I183" i="11"/>
  <c r="H183" i="11"/>
  <c r="H149" i="11"/>
  <c r="I149" i="11"/>
  <c r="H150" i="11"/>
  <c r="I150" i="11"/>
  <c r="H151" i="11"/>
  <c r="I151" i="11"/>
  <c r="H152" i="11"/>
  <c r="I152" i="11"/>
  <c r="H153" i="11"/>
  <c r="I153" i="11"/>
  <c r="I148" i="11"/>
  <c r="H148" i="11"/>
  <c r="C147" i="11"/>
  <c r="H61" i="11"/>
  <c r="I61" i="11"/>
  <c r="H62" i="11"/>
  <c r="I62" i="11"/>
  <c r="I60" i="11"/>
  <c r="H60" i="11"/>
  <c r="C62" i="11"/>
  <c r="H21" i="11"/>
  <c r="I21" i="11"/>
  <c r="H22" i="11"/>
  <c r="I22" i="11"/>
  <c r="H23" i="11"/>
  <c r="I23" i="11"/>
  <c r="H28" i="11"/>
  <c r="I28" i="11"/>
  <c r="H29" i="11"/>
  <c r="I29" i="11"/>
  <c r="H30" i="11"/>
  <c r="I30" i="11"/>
  <c r="H36" i="11"/>
  <c r="I36" i="11"/>
  <c r="I19" i="11"/>
  <c r="H19" i="11"/>
  <c r="H9" i="11"/>
  <c r="I9" i="11"/>
  <c r="H10" i="11"/>
  <c r="H11" i="11"/>
  <c r="I11" i="11"/>
  <c r="H17" i="11"/>
  <c r="I17" i="11"/>
  <c r="I8" i="11"/>
  <c r="H8" i="11"/>
  <c r="H7" i="11"/>
  <c r="I10" i="11"/>
  <c r="H10" i="70"/>
  <c r="H11" i="70"/>
  <c r="I11" i="70"/>
  <c r="H12" i="70"/>
  <c r="I12" i="70"/>
  <c r="H8" i="70"/>
  <c r="I42" i="71"/>
  <c r="I7" i="11"/>
  <c r="H7" i="70"/>
  <c r="I10" i="71"/>
  <c r="I11" i="71"/>
  <c r="I12" i="71"/>
  <c r="I13" i="71"/>
  <c r="I14" i="71"/>
  <c r="I15" i="71"/>
  <c r="I16" i="71"/>
  <c r="I18" i="71"/>
  <c r="I19" i="71"/>
  <c r="I20" i="71"/>
  <c r="I22" i="71"/>
  <c r="H24" i="71"/>
  <c r="I24" i="71"/>
  <c r="I8" i="71"/>
  <c r="C21" i="70"/>
  <c r="C23" i="70" s="1"/>
  <c r="C27" i="71"/>
  <c r="C21" i="71"/>
  <c r="C20" i="71"/>
  <c r="C13" i="3"/>
  <c r="C14" i="70"/>
  <c r="C15" i="70" s="1"/>
  <c r="C8" i="70"/>
  <c r="C9" i="70" s="1"/>
  <c r="E7" i="68"/>
  <c r="F7" i="68"/>
  <c r="G7" i="68"/>
  <c r="H7" i="68"/>
  <c r="I7" i="68"/>
  <c r="J7" i="68"/>
  <c r="K7" i="68"/>
  <c r="L7" i="68"/>
  <c r="N7" i="68"/>
  <c r="O7" i="68"/>
  <c r="P7" i="68"/>
  <c r="M8" i="68"/>
  <c r="M7" i="68" s="1"/>
  <c r="C237" i="29"/>
  <c r="G25" i="29" l="1"/>
  <c r="H21" i="71"/>
  <c r="H9" i="71"/>
  <c r="I47" i="71"/>
  <c r="I147" i="11"/>
  <c r="C12" i="72"/>
  <c r="C13" i="72" s="1"/>
  <c r="C10" i="72"/>
  <c r="C11" i="72" s="1"/>
  <c r="C24" i="70"/>
  <c r="H46" i="71"/>
  <c r="H14" i="3"/>
  <c r="C30" i="72"/>
  <c r="C31" i="72" s="1"/>
  <c r="C32" i="72"/>
  <c r="C33" i="72" s="1"/>
  <c r="I27" i="72"/>
  <c r="G7" i="3" s="1"/>
  <c r="H12" i="3"/>
  <c r="G10" i="29"/>
  <c r="I10" i="29" s="1"/>
  <c r="H25" i="29"/>
  <c r="I28" i="29"/>
  <c r="I29" i="29"/>
  <c r="H190" i="29"/>
  <c r="I235" i="29"/>
  <c r="H178" i="29"/>
  <c r="H8" i="29"/>
  <c r="I12" i="3"/>
  <c r="H147" i="11"/>
  <c r="I43" i="72"/>
  <c r="G47" i="72" s="1"/>
  <c r="H43" i="72"/>
  <c r="F47" i="72" s="1"/>
  <c r="F180" i="29"/>
  <c r="H10" i="29"/>
  <c r="H189" i="29"/>
  <c r="I189" i="29"/>
  <c r="F179" i="29"/>
  <c r="H179" i="29" s="1"/>
  <c r="I182" i="29"/>
  <c r="I14" i="29"/>
  <c r="F183" i="29"/>
  <c r="H183" i="29" s="1"/>
  <c r="H14" i="29"/>
  <c r="H192" i="29"/>
  <c r="I178" i="29"/>
  <c r="H182" i="29"/>
  <c r="H156" i="11"/>
  <c r="I44" i="72"/>
  <c r="G48" i="72" s="1"/>
  <c r="H42" i="72"/>
  <c r="F46" i="72" s="1"/>
  <c r="F184" i="29"/>
  <c r="G183" i="29"/>
  <c r="I192" i="29"/>
  <c r="G190" i="29"/>
  <c r="I190" i="29" s="1"/>
  <c r="I26" i="29"/>
  <c r="H188" i="29"/>
  <c r="G17" i="29"/>
  <c r="H26" i="29"/>
  <c r="I14" i="3"/>
  <c r="I21" i="71"/>
  <c r="I9" i="71"/>
  <c r="H20" i="11"/>
  <c r="H44" i="72"/>
  <c r="F48" i="72" s="1"/>
  <c r="I20" i="11"/>
  <c r="I42" i="72"/>
  <c r="G46" i="72" s="1"/>
  <c r="I156" i="11"/>
  <c r="H7" i="71" l="1"/>
  <c r="H17" i="71"/>
  <c r="I17" i="71"/>
  <c r="H16" i="29"/>
  <c r="F177" i="29"/>
  <c r="H177" i="29" s="1"/>
  <c r="H180" i="29"/>
  <c r="H204" i="29"/>
  <c r="H214" i="29"/>
  <c r="G16" i="29"/>
  <c r="I17" i="29"/>
  <c r="H184" i="29"/>
  <c r="F181" i="29"/>
  <c r="G179" i="29"/>
  <c r="I188" i="29"/>
  <c r="I186" i="29"/>
  <c r="I183" i="29"/>
  <c r="I25" i="29"/>
  <c r="I7" i="71"/>
  <c r="I41" i="72"/>
  <c r="G45" i="72" s="1"/>
  <c r="G11" i="3" s="1"/>
  <c r="H41" i="72"/>
  <c r="F45" i="72" s="1"/>
  <c r="F11" i="3" s="1"/>
  <c r="F9" i="29" l="1"/>
  <c r="H9" i="29" s="1"/>
  <c r="F13" i="29"/>
  <c r="H181" i="29"/>
  <c r="I179" i="29"/>
  <c r="I16" i="29"/>
  <c r="G8" i="29"/>
  <c r="H13" i="3"/>
  <c r="I13" i="3"/>
  <c r="F7" i="29" l="1"/>
  <c r="H7" i="29" s="1"/>
  <c r="I8" i="29"/>
  <c r="H13" i="29"/>
  <c r="H24" i="29" l="1"/>
  <c r="F23" i="29"/>
  <c r="I27" i="29"/>
  <c r="F12" i="29" l="1"/>
  <c r="H23" i="29"/>
  <c r="F11" i="29"/>
  <c r="H11" i="29" s="1"/>
  <c r="H12" i="29"/>
  <c r="G24" i="29"/>
  <c r="I24" i="29" l="1"/>
  <c r="G23" i="29"/>
  <c r="I23" i="29" l="1"/>
  <c r="G12" i="29"/>
  <c r="I12" i="29" l="1"/>
  <c r="G184" i="29" l="1"/>
  <c r="I184" i="29" s="1"/>
  <c r="I214" i="29"/>
  <c r="I217" i="29"/>
  <c r="I210" i="29" l="1"/>
  <c r="G181" i="29"/>
  <c r="G13" i="29" l="1"/>
  <c r="I181" i="29"/>
  <c r="I13" i="29" l="1"/>
  <c r="G11" i="29"/>
  <c r="I11" i="29" s="1"/>
  <c r="I200" i="29"/>
  <c r="E180" i="29"/>
  <c r="E177" i="29"/>
  <c r="E9" i="29" s="1"/>
  <c r="E7" i="29" s="1"/>
  <c r="I204" i="29"/>
  <c r="I207" i="29"/>
  <c r="G180" i="29"/>
  <c r="I180" i="29" s="1"/>
  <c r="G177" i="29" l="1"/>
  <c r="G9" i="29" l="1"/>
  <c r="I177" i="29"/>
  <c r="G7" i="29" l="1"/>
  <c r="I7" i="29" s="1"/>
  <c r="I9" i="29"/>
</calcChain>
</file>

<file path=xl/comments1.xml><?xml version="1.0" encoding="utf-8"?>
<comments xmlns="http://schemas.openxmlformats.org/spreadsheetml/2006/main">
  <authors>
    <author>Admin</author>
    <author>TRAN MINH TUAN</author>
    <author>Sky123.Org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276.417 đối tương tham gia 95%</t>
        </r>
      </text>
    </comment>
    <comment ref="D118" authorId="1" shapeId="0">
      <text>
        <r>
          <rPr>
            <sz val="9"/>
            <color indexed="81"/>
            <rFont val="Tahoma"/>
            <family val="2"/>
          </rPr>
          <t xml:space="preserve">Đã tính 2 lần thi
</t>
        </r>
      </text>
    </comment>
    <comment ref="F118" authorId="1" shapeId="0">
      <text>
        <r>
          <rPr>
            <sz val="9"/>
            <color indexed="81"/>
            <rFont val="Tahoma"/>
            <family val="2"/>
          </rPr>
          <t xml:space="preserve">Đã tính 2 lần thi
</t>
        </r>
      </text>
    </comment>
    <comment ref="B154" authorId="2" shapeId="0">
      <text>
        <r>
          <rPr>
            <b/>
            <sz val="9"/>
            <color indexed="81"/>
            <rFont val="Tahoma"/>
            <family val="2"/>
          </rPr>
          <t>Sky123.Org:</t>
        </r>
        <r>
          <rPr>
            <sz val="9"/>
            <color indexed="81"/>
            <rFont val="Tahoma"/>
            <family val="2"/>
          </rPr>
          <t xml:space="preserve">
Bỏ Thư viện đi</t>
        </r>
      </text>
    </comment>
  </commentList>
</comments>
</file>

<file path=xl/sharedStrings.xml><?xml version="1.0" encoding="utf-8"?>
<sst xmlns="http://schemas.openxmlformats.org/spreadsheetml/2006/main" count="1576" uniqueCount="595">
  <si>
    <t xml:space="preserve">  - Tỷ lệ kiên cố hoá trường lớp học</t>
  </si>
  <si>
    <t>‰</t>
  </si>
  <si>
    <t>Chi ngân sách địa phương</t>
  </si>
  <si>
    <t>Chi đầu tư phát triển do địa phương quản lý</t>
  </si>
  <si>
    <t>Chi thường xuyên</t>
  </si>
  <si>
    <t>Tỷ đồng</t>
  </si>
  <si>
    <t>Người</t>
  </si>
  <si>
    <t>- Nông nghiệp</t>
  </si>
  <si>
    <t>- Lâm nghiệp</t>
  </si>
  <si>
    <t>- Thuỷ sản</t>
  </si>
  <si>
    <t>Lâm nghiệp</t>
  </si>
  <si>
    <t xml:space="preserve">        + Rừng phòng hộ và đặc dụng</t>
  </si>
  <si>
    <t xml:space="preserve">        + Rừng sản xuất</t>
  </si>
  <si>
    <t>Ước thực hiện cả năm</t>
  </si>
  <si>
    <t>Ước thực hiện 6 tháng</t>
  </si>
  <si>
    <t>DÂN SỐ</t>
  </si>
  <si>
    <t>LAO ĐỘNG VIỆC LÀM</t>
  </si>
  <si>
    <t>GIÁO DỤC</t>
  </si>
  <si>
    <t xml:space="preserve">Chăn nuôi </t>
  </si>
  <si>
    <t xml:space="preserve">  - Trong đó: Đàn gà</t>
  </si>
  <si>
    <t>Thuỷ sản</t>
  </si>
  <si>
    <t xml:space="preserve">     + Diện tích chuyên canh</t>
  </si>
  <si>
    <t xml:space="preserve">     + Diện tích thâm canh</t>
  </si>
  <si>
    <t>Sản lượng một số sản phẩm công nghiệp chủ yếu</t>
  </si>
  <si>
    <t>Hộ</t>
  </si>
  <si>
    <t>Xã</t>
  </si>
  <si>
    <t>Học sinh</t>
  </si>
  <si>
    <t>Giường</t>
  </si>
  <si>
    <t>Bác sĩ</t>
  </si>
  <si>
    <t xml:space="preserve">  - Tỷ lệ trẻ em trong độ tuổi đi học mẫu giáo</t>
  </si>
  <si>
    <t>So sánh (%)</t>
  </si>
  <si>
    <t>CHỈ TIÊU</t>
  </si>
  <si>
    <t>Trong đó:</t>
  </si>
  <si>
    <t>Kế hoạch</t>
  </si>
  <si>
    <t>Đơn vị</t>
  </si>
  <si>
    <t>%</t>
  </si>
  <si>
    <t>Ha</t>
  </si>
  <si>
    <t>STT</t>
  </si>
  <si>
    <t>I</t>
  </si>
  <si>
    <t>Bieu mau huong dan 2006-2010 Mau.xls</t>
  </si>
  <si>
    <t>C:\PROGRAM FILES\MICROSOFT OFFICE\OFFICE\xlstart\ÿÿÿÿÿ.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</si>
  <si>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</si>
  <si>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</si>
  <si>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</si>
  <si>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</si>
  <si>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</si>
  <si>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</si>
  <si>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</si>
  <si>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</si>
  <si>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ÿÿÿÿÿ.xls**</t>
  </si>
  <si>
    <t>**Infect Workbook**</t>
  </si>
  <si>
    <t/>
  </si>
  <si>
    <t>-</t>
  </si>
  <si>
    <t>II</t>
  </si>
  <si>
    <t>a)</t>
  </si>
  <si>
    <t>b)</t>
  </si>
  <si>
    <t>Tấn</t>
  </si>
  <si>
    <t>III</t>
  </si>
  <si>
    <t xml:space="preserve">  Trong đó: Cá nuôi</t>
  </si>
  <si>
    <t>DN</t>
  </si>
  <si>
    <t xml:space="preserve"> - Tỷ lệ hộ gia đình được công nhận danh hiệu gia đình văn hoá </t>
  </si>
  <si>
    <t>IV</t>
  </si>
  <si>
    <t>V</t>
  </si>
  <si>
    <t xml:space="preserve">  - Tỷ lệ tốt nghiệp THPT</t>
  </si>
  <si>
    <t xml:space="preserve">  - Tỷ lệ giáo viên THPT có trình độ thạc sĩ</t>
  </si>
  <si>
    <t xml:space="preserve">  - Phổ cập mầm non cho trẻ 5 tuổi</t>
  </si>
  <si>
    <t>Huyện</t>
  </si>
  <si>
    <t xml:space="preserve"> - Dân số trung bình</t>
  </si>
  <si>
    <t xml:space="preserve"> - Tốc độ tăng dân số tự nhiên</t>
  </si>
  <si>
    <t xml:space="preserve"> - Mức giảm tỷ lệ sinh</t>
  </si>
  <si>
    <t xml:space="preserve"> - Tỷ số giới tính khi sinh (số bé trai so với 100 bé gái)</t>
  </si>
  <si>
    <t>Xã, P, TT</t>
  </si>
  <si>
    <t xml:space="preserve">    + Sản lượng khai thác thủy sản tự nhiên  </t>
  </si>
  <si>
    <t xml:space="preserve">    + Sản lượng nuôi trồng</t>
  </si>
  <si>
    <t>Chỉ tiêu</t>
  </si>
  <si>
    <t xml:space="preserve"> Giờ/năm</t>
  </si>
  <si>
    <t>Triệu đồng</t>
  </si>
  <si>
    <t>Doanh nghiệp ngoài nhà nước</t>
  </si>
  <si>
    <t>*</t>
  </si>
  <si>
    <t>GRDP bình quân đầu người</t>
  </si>
  <si>
    <t>NÔNG, LÂM NGHIỆP VÀ THUỶ SẢN</t>
  </si>
  <si>
    <t>CÔNG NGHIỆP - XÂY DỰNG</t>
  </si>
  <si>
    <t>DỊCH VỤ</t>
  </si>
  <si>
    <t>Tiêu chí</t>
  </si>
  <si>
    <t xml:space="preserve">Trong đó: </t>
  </si>
  <si>
    <t>- Năng suất</t>
  </si>
  <si>
    <t>- Sản lượng</t>
  </si>
  <si>
    <t xml:space="preserve">Cam </t>
  </si>
  <si>
    <t>c</t>
  </si>
  <si>
    <t>e</t>
  </si>
  <si>
    <t>a</t>
  </si>
  <si>
    <t>b</t>
  </si>
  <si>
    <t>Tạ/ha</t>
  </si>
  <si>
    <t>- Diện tích</t>
  </si>
  <si>
    <t>Phát triển nông thôn</t>
  </si>
  <si>
    <t>- Số tiêu chí nông thôn mới bình quân đạt được/xã</t>
  </si>
  <si>
    <t>- Tỷ lệ xã đạt chuẩn nông thôn mới</t>
  </si>
  <si>
    <t>Giá trị sản xuất (giá SS 2010)</t>
  </si>
  <si>
    <t>KCN</t>
  </si>
  <si>
    <t xml:space="preserve"> - Dân số là dân tộc thiểu số</t>
  </si>
  <si>
    <t xml:space="preserve"> - Tỷ lệ dân số đô thị</t>
  </si>
  <si>
    <t xml:space="preserve">  Trong đó:  Phát thanh bằng tiếng dân tộc</t>
  </si>
  <si>
    <t xml:space="preserve">  Trong đó:  Truyền hình bằng tiếng dân tộc</t>
  </si>
  <si>
    <t>CCN</t>
  </si>
  <si>
    <t xml:space="preserve">                  - Nông, lâm nghiệp và thủy sản</t>
  </si>
  <si>
    <t xml:space="preserve">                  - Công nghiệp - Xây dựng</t>
  </si>
  <si>
    <t xml:space="preserve">                  - Dịch vụ</t>
  </si>
  <si>
    <t xml:space="preserve">    Trong đó:  Lao động nữ</t>
  </si>
  <si>
    <t xml:space="preserve">    +  Số lao động đi làm việc có thời hạn ở nước ngoài trong năm theo hợp đồng</t>
  </si>
  <si>
    <t xml:space="preserve"> - Số dược sĩ đại học/10.000 dân</t>
  </si>
  <si>
    <t>Dược sĩ</t>
  </si>
  <si>
    <t>Trong đó: Tỷ lệ trạm y tế xã miền núi có bác sĩ</t>
  </si>
  <si>
    <t>BM/100000 trẻ đẻ sống</t>
  </si>
  <si>
    <t>Cháu</t>
  </si>
  <si>
    <t xml:space="preserve">       + Trung học cơ sở </t>
  </si>
  <si>
    <t xml:space="preserve">       + Trung học phổ thông</t>
  </si>
  <si>
    <t>Trường</t>
  </si>
  <si>
    <t xml:space="preserve">Trường </t>
  </si>
  <si>
    <t>Giá trị sản xuất nông, lâm nghiệp, thuỷ sản (giá SS 2010)</t>
  </si>
  <si>
    <t>Giá trị sản xuất nông, lâm nghiệp, thuỷ sản (giá hiện hành)</t>
  </si>
  <si>
    <t>Giá trị sản xuất/1ha đất sản xuất nông nghiệp</t>
  </si>
  <si>
    <t>Một số sản phẩm chủ yếu</t>
  </si>
  <si>
    <t>Trồng trọt</t>
  </si>
  <si>
    <t xml:space="preserve">Cây lương thực có hạt  </t>
  </si>
  <si>
    <t xml:space="preserve"> - Diện tích</t>
  </si>
  <si>
    <t xml:space="preserve"> - Sản lượng</t>
  </si>
  <si>
    <t xml:space="preserve"> Lúa cả năm                    </t>
  </si>
  <si>
    <t xml:space="preserve"> Ha</t>
  </si>
  <si>
    <t xml:space="preserve"> Tấn</t>
  </si>
  <si>
    <t>Trong đó:  Lúa chất lượng:</t>
  </si>
  <si>
    <t xml:space="preserve"> Ngô                              </t>
  </si>
  <si>
    <t>Cây có củ</t>
  </si>
  <si>
    <t>Khoai lang</t>
  </si>
  <si>
    <t xml:space="preserve">  Vải VietGAP:</t>
  </si>
  <si>
    <t xml:space="preserve">  Vải sớm:       </t>
  </si>
  <si>
    <t>Trong đó: Cam đường canh</t>
  </si>
  <si>
    <t>Cây thực phẩm</t>
  </si>
  <si>
    <t xml:space="preserve">Đậu các loại                </t>
  </si>
  <si>
    <t xml:space="preserve"> - Trồng rừng tập trung </t>
  </si>
  <si>
    <t xml:space="preserve"> - Bảo vệ rừng </t>
  </si>
  <si>
    <t xml:space="preserve"> - Sản lượng khai thác</t>
  </si>
  <si>
    <t xml:space="preserve"> + Rừng trồng</t>
  </si>
  <si>
    <t xml:space="preserve">   - Tỷ lệ bò lai</t>
  </si>
  <si>
    <t xml:space="preserve">  - Lợn nái</t>
  </si>
  <si>
    <t xml:space="preserve">  - Tỷ lệ nái ngoại</t>
  </si>
  <si>
    <t xml:space="preserve">  - Lợn thịt xuất chuồng</t>
  </si>
  <si>
    <t>Tổng đàn gia cầm các loại</t>
  </si>
  <si>
    <t>Sản phẩm chăn nuôi</t>
  </si>
  <si>
    <t>Thịt hơi các loại:</t>
  </si>
  <si>
    <t>1000 tấn</t>
  </si>
  <si>
    <t xml:space="preserve">                    - Thịt trâu</t>
  </si>
  <si>
    <t xml:space="preserve">                    - Thịt bò</t>
  </si>
  <si>
    <t xml:space="preserve">                    - Thịt lợn</t>
  </si>
  <si>
    <t xml:space="preserve">                    - Thịt gia cầm</t>
  </si>
  <si>
    <t>Trứng</t>
  </si>
  <si>
    <t>Sản lượng mật ong</t>
  </si>
  <si>
    <t>- Diện tích nuôi thủy sản</t>
  </si>
  <si>
    <t xml:space="preserve">- Sản lượng khai thác và nuôi trồng thủy sản  </t>
  </si>
  <si>
    <t>- Tỷ lệ dân số nông thôn được sử dụng nước HVS</t>
  </si>
  <si>
    <t>- Số xã đạt chuẩn nông thôn mới (tính lũy kế)</t>
  </si>
  <si>
    <t>Giá trị sản xuất CN-XD (giá SS 2010)</t>
  </si>
  <si>
    <t>Giá trị sản xuất CN-XD (giá HH)</t>
  </si>
  <si>
    <t>Xây dựng</t>
  </si>
  <si>
    <t>Giá trị sản xuất (giá HH)</t>
  </si>
  <si>
    <t>Công nghiệp</t>
  </si>
  <si>
    <t xml:space="preserve">Chỉ số sản xuất công nghiệp (IIP) </t>
  </si>
  <si>
    <t>Theo thành phần kinh tế</t>
  </si>
  <si>
    <t>Chia theo ngành</t>
  </si>
  <si>
    <t xml:space="preserve"> - Gạch xây dựng không nung</t>
  </si>
  <si>
    <t>Giá trị sản xuất dịch vụ</t>
  </si>
  <si>
    <t xml:space="preserve"> - Theo giá so sánh 2010</t>
  </si>
  <si>
    <t xml:space="preserve"> - Theo giá hiện hành</t>
  </si>
  <si>
    <t>Tổng mức bán lẻ hàng hóa và doanh thu dịch vụ</t>
  </si>
  <si>
    <t>Xuất khẩu</t>
  </si>
  <si>
    <t>Nhập khẩu</t>
  </si>
  <si>
    <t>USD</t>
  </si>
  <si>
    <t>Thu nội địa</t>
  </si>
  <si>
    <t xml:space="preserve">  Thu xổ số kiến thiết</t>
  </si>
  <si>
    <t>Thu thuế xuất, nhập khẩu</t>
  </si>
  <si>
    <t xml:space="preserve">        + Các chương trình mục tiêu</t>
  </si>
  <si>
    <t xml:space="preserve">        + Vốn ODA</t>
  </si>
  <si>
    <t xml:space="preserve">        + Chương trình mục tiêu quốc gia</t>
  </si>
  <si>
    <t xml:space="preserve"> + Khu vực nhà nước</t>
  </si>
  <si>
    <t xml:space="preserve"> + Khu vực ngoài nhà nước</t>
  </si>
  <si>
    <t xml:space="preserve"> + Khu vực có vốn đầu tư nước ngoài</t>
  </si>
  <si>
    <t xml:space="preserve"> - Số giường bệnh/10.000 dân (không tính giường của Trạm y tế xã và Phòng khám ĐKKV)</t>
  </si>
  <si>
    <t xml:space="preserve"> - Tỷ lệ trạm y tế xã, phường, thị trấn có bác sĩ phục vụ</t>
  </si>
  <si>
    <t xml:space="preserve"> - Số bác sĩ/10.000 dân</t>
  </si>
  <si>
    <t xml:space="preserve"> - Tỷ suất tử vong trẻ em dưới 1 tuổi</t>
  </si>
  <si>
    <t xml:space="preserve"> - Tỷ suất tử vong trẻ em dưới 5 tuổi</t>
  </si>
  <si>
    <t xml:space="preserve"> - Tỷ lệ suy dinh dưỡng của trẻ dưới 5 tuổi (thể nhẹ cân)</t>
  </si>
  <si>
    <t>Bưởi</t>
  </si>
  <si>
    <t>c)</t>
  </si>
  <si>
    <t>Du lịch</t>
  </si>
  <si>
    <t>Nghìn lượt người</t>
  </si>
  <si>
    <t>PHÁT TRIỂN DOANH NGHIỆP, HTX</t>
  </si>
  <si>
    <t>Hợp tác xã</t>
  </si>
  <si>
    <t>3</t>
  </si>
  <si>
    <t>4</t>
  </si>
  <si>
    <t>Liên hiệp hợp tác xã</t>
  </si>
  <si>
    <t>Liên hiệp HTX</t>
  </si>
  <si>
    <t>Trong đó: Số liên hiệp hợp tác xã thành lập mới</t>
  </si>
  <si>
    <t>5</t>
  </si>
  <si>
    <t>Tổ hợp tác</t>
  </si>
  <si>
    <t>Trong đó: Số tổ hợp tác đăng ký chứng thực</t>
  </si>
  <si>
    <t>Doanh nghiệp nhà nước</t>
  </si>
  <si>
    <t>VĂN HÓA, THỂ DỤC THỂ THAO</t>
  </si>
  <si>
    <t>Vụ</t>
  </si>
  <si>
    <t>DANH MỤC CÁC DỰ ÁN QUY HOẠCH</t>
  </si>
  <si>
    <t>TT</t>
  </si>
  <si>
    <t>Cấp phê duyệt</t>
  </si>
  <si>
    <t>Tổng dự toán được duyệt</t>
  </si>
  <si>
    <t>Tổng số</t>
  </si>
  <si>
    <t>Vốn nước ngoài</t>
  </si>
  <si>
    <t>Tên quy hoạch</t>
  </si>
  <si>
    <t>Thời kỳ quy hoạch (hay thời gian bắt đầu - kết thúc)</t>
  </si>
  <si>
    <t>Năm 2019</t>
  </si>
  <si>
    <t>Dự kiến kế hoạch năm 2020</t>
  </si>
  <si>
    <t>Tổng số vốn</t>
  </si>
  <si>
    <t>Vốn đầu tư công</t>
  </si>
  <si>
    <t>Vốn khác</t>
  </si>
  <si>
    <t>Biểu mẫu số 4</t>
  </si>
  <si>
    <t>Đơn vị tính: Triệu đồng</t>
  </si>
  <si>
    <t>Biểu mẫu số 3</t>
  </si>
  <si>
    <t>Biểu mẫu số 2</t>
  </si>
  <si>
    <t>Biểu mẫu số 1</t>
  </si>
  <si>
    <t>THÔNG TIN VÀ TRUYỀN THÔNG</t>
  </si>
  <si>
    <t>CHỈ TIÊU PHÁT TRIỂN BỀN VỮNG</t>
  </si>
  <si>
    <t>BẢO VỆ, CHĂM SÓC SỨC KHỎE NHÂN DÂN</t>
  </si>
  <si>
    <t xml:space="preserve"> - Tỷ số tử vong mẹ liên quan đến thai sản</t>
  </si>
  <si>
    <t xml:space="preserve"> - Tỷ lệ người dân có thẻ BHYT</t>
  </si>
  <si>
    <t xml:space="preserve"> - Số người tham gia BHXH tự nguyện (lũy kế)</t>
  </si>
  <si>
    <t xml:space="preserve">  Thực hiện công tác QLNN về an toàn thực phẩm</t>
  </si>
  <si>
    <t>Phường,TT</t>
  </si>
  <si>
    <t>Giáo dục mầm non và phổ thông</t>
  </si>
  <si>
    <t>Tổng số học sinh đầu năm học</t>
  </si>
  <si>
    <t>Quy mô trường</t>
  </si>
  <si>
    <t>Lớp</t>
  </si>
  <si>
    <t xml:space="preserve"> - Mầm non </t>
  </si>
  <si>
    <t xml:space="preserve"> - Tiểu học </t>
  </si>
  <si>
    <t xml:space="preserve"> - Trung học cơ sở ( Không bao gồm DTNT huyện)</t>
  </si>
  <si>
    <t xml:space="preserve"> - Trung học phổ thông công lập </t>
  </si>
  <si>
    <t xml:space="preserve"> - Trung tâm (GDTX và TT khác)</t>
  </si>
  <si>
    <t>Quy mô lớp</t>
  </si>
  <si>
    <t xml:space="preserve"> - Số lớp mẫu giáo trường công lập</t>
  </si>
  <si>
    <t xml:space="preserve"> - Số lớp mẫu giáo trường tư thục</t>
  </si>
  <si>
    <t xml:space="preserve"> - Số lớp tiểu học trường công lập</t>
  </si>
  <si>
    <t xml:space="preserve"> - Số lớp tiểu học trường tư thục</t>
  </si>
  <si>
    <t xml:space="preserve"> - Số lớp THCS trường công lập</t>
  </si>
  <si>
    <t xml:space="preserve"> - Số lớp THPT trường công lập</t>
  </si>
  <si>
    <t xml:space="preserve"> - Số lớp THPT trường tư thục</t>
  </si>
  <si>
    <t xml:space="preserve"> - Số lớp Giáo dục thường xuyên</t>
  </si>
  <si>
    <t xml:space="preserve">  - Số xã, phường, thị trấn đạt phổ cập THCS mức độ 2</t>
  </si>
  <si>
    <t xml:space="preserve">  - Tỷ lệ xã, phường, thị trấn phổ cập THCS mức độ 2</t>
  </si>
  <si>
    <t xml:space="preserve">  - Số huyện, thành phố đạt phổ cập THCS mức độ 2</t>
  </si>
  <si>
    <t>Đào tạo nghề</t>
  </si>
  <si>
    <t>Sinh viên</t>
  </si>
  <si>
    <t>Vốn đầu tư nước ngoài (FDI)</t>
  </si>
  <si>
    <t xml:space="preserve">Vốn đầu tư khu vực dân cư </t>
  </si>
  <si>
    <t xml:space="preserve">  Trong đó: </t>
  </si>
  <si>
    <t xml:space="preserve">  Thu tiền sử dụng đất</t>
  </si>
  <si>
    <t xml:space="preserve">  Thu cổ tức và lợi nhuận sau thuế </t>
  </si>
  <si>
    <t>GIÁ TRỊ SẢN XUẤT THEO NGÀNH KINH TẾ</t>
  </si>
  <si>
    <t>Theo giá so sánh 2010</t>
  </si>
  <si>
    <t xml:space="preserve">    - Công nghiệp-Xây dựng</t>
  </si>
  <si>
    <t xml:space="preserve">    - Dịch vụ</t>
  </si>
  <si>
    <t>Theo giá hiện hành</t>
  </si>
  <si>
    <t>- Diện tích trồng</t>
  </si>
  <si>
    <t>- Diện tích thu hoạch</t>
  </si>
  <si>
    <t xml:space="preserve"> - Số lượt khách quốc tế</t>
  </si>
  <si>
    <t xml:space="preserve"> - Số lượt khách du lịch nội địa</t>
  </si>
  <si>
    <t>HTX</t>
  </si>
  <si>
    <t>Trong đó: thành lập mới</t>
  </si>
  <si>
    <t>Triệu đồng/tháng</t>
  </si>
  <si>
    <t xml:space="preserve"> Trong đó: Bưởi Diễn</t>
  </si>
  <si>
    <t>d</t>
  </si>
  <si>
    <t>Cây công nghiệp</t>
  </si>
  <si>
    <t>Cây hàng năm chủ yếu</t>
  </si>
  <si>
    <t xml:space="preserve"> Lạc</t>
  </si>
  <si>
    <t>Đậu tương</t>
  </si>
  <si>
    <t xml:space="preserve"> - Tỷ lệ sản xuất thâm canh cây ăn quả theo tiêu chuẩn VietGAP</t>
  </si>
  <si>
    <t xml:space="preserve"> - Tỷ lệ sản xuất thâm canh thủy sản theo tiêu chuẩn VietGAP</t>
  </si>
  <si>
    <t xml:space="preserve"> - Tỷ lệ tổng đàn chăn nuôi lợn theo tiêu chuẩn VietGAP</t>
  </si>
  <si>
    <t xml:space="preserve"> - Tỷ lệ tổng đàn chăn nuôi gia cầm theo tiêu chuẩn VietGAP</t>
  </si>
  <si>
    <t>2019-2021</t>
  </si>
  <si>
    <t>Thủ tướng Chính phủ</t>
  </si>
  <si>
    <t>Lập quy hoạch tỉnh Bắc Giang thời kỳ 2021-2030, tầm nhìn đến năm 2045</t>
  </si>
  <si>
    <t>bản</t>
  </si>
  <si>
    <t xml:space="preserve"> - Dân số đô thị</t>
  </si>
  <si>
    <t>người</t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</si>
  <si>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>Kw/h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</si>
  <si>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người</t>
    </r>
  </si>
  <si>
    <r>
      <t>g/m</t>
    </r>
    <r>
      <rPr>
        <vertAlign val="superscript"/>
        <sz val="14"/>
        <rFont val="Times New Roman"/>
        <family val="1"/>
      </rPr>
      <t>3</t>
    </r>
  </si>
  <si>
    <t>Quy hoạch xây dựng</t>
  </si>
  <si>
    <t>QH chi tiết XD khu nhà ở XH xã Ninh Sơn và xã Quảng Minh - VY</t>
  </si>
  <si>
    <t>QH chi tiết XD khu nhà ở XH xã Tiền Phong  - YD</t>
  </si>
  <si>
    <t>Điều chỉnh QH phân khu số 2</t>
  </si>
  <si>
    <t>Cắm mốc quy hoạch phân khu số: 3;4;5;6;7;8;9 và QH: Nhà ở xã hội xã Tiền Phong, Yên Dũng; nhà ở xã hội xã Ninh Sơn và Quảng Minh, Việt Yên; QH dọc tuyến đường vành đai 4</t>
  </si>
  <si>
    <r>
      <t xml:space="preserve">QH phân khu, </t>
    </r>
    <r>
      <rPr>
        <b/>
        <sz val="14"/>
        <color indexed="8"/>
        <rFont val="Times New Roman"/>
        <family val="1"/>
      </rPr>
      <t>khu số 7</t>
    </r>
  </si>
  <si>
    <r>
      <t xml:space="preserve">QH phân khu, </t>
    </r>
    <r>
      <rPr>
        <b/>
        <sz val="14"/>
        <color indexed="8"/>
        <rFont val="Times New Roman"/>
        <family val="1"/>
      </rPr>
      <t>khu số 8+9</t>
    </r>
  </si>
  <si>
    <t xml:space="preserve">  - Số trường đạt chuẩn quốc gia (Mức độ 2)</t>
  </si>
  <si>
    <t xml:space="preserve">  - Tỷ lệ trường đạt chuẩn quốc gia (Mức độ 2)</t>
  </si>
  <si>
    <t xml:space="preserve">  - Số xã, phường, thị trấn đạt tiêu chuẩn phù hợp với trẻ em (Theo QĐ 06/QĐ-TTg ngày 03/01/2019)</t>
  </si>
  <si>
    <t>Trong đó: Thành viên mới</t>
  </si>
  <si>
    <t xml:space="preserve"> - Trung học phổ thông ngoài công lập</t>
  </si>
  <si>
    <t xml:space="preserve"> - Tỷ lệ cơ sở sản xuất, chế biến, kinh doanh nông lâm sản, thủy sản được cấp giấy chứng nhận ATTP</t>
  </si>
  <si>
    <t xml:space="preserve">Trong đó: - Doanh nghiệp 100% vốn nhà nước            </t>
  </si>
  <si>
    <t xml:space="preserve">                 - Doanh nghiệp &gt; 50% vốn nhà nước</t>
  </si>
  <si>
    <t xml:space="preserve"> - Công nghiệp khai khoáng</t>
  </si>
  <si>
    <t xml:space="preserve"> - Công nghiệp chế biến, chế tạo</t>
  </si>
  <si>
    <t xml:space="preserve"> - Sản xuất và phân phối điện, khí đốt, nước</t>
  </si>
  <si>
    <t xml:space="preserve"> - Cung cấp nước, quản lý và xử lý rác thải, nước thải</t>
  </si>
  <si>
    <t xml:space="preserve"> - Xi măng</t>
  </si>
  <si>
    <t xml:space="preserve"> - Thiết bị ngoại vi</t>
  </si>
  <si>
    <t xml:space="preserve"> - Mạch điện tích hợp</t>
  </si>
  <si>
    <t xml:space="preserve"> - Phân bón các loại</t>
  </si>
  <si>
    <t xml:space="preserve"> - Giấy và sản phẩm từ giấy các loại</t>
  </si>
  <si>
    <t xml:space="preserve"> - Bao bì bằng chất dẻo các loại</t>
  </si>
  <si>
    <t xml:space="preserve"> - Sản phẩm may mặc</t>
  </si>
  <si>
    <t xml:space="preserve"> - Điện sản xuất</t>
  </si>
  <si>
    <t xml:space="preserve"> - Điện thương phẩm</t>
  </si>
  <si>
    <t xml:space="preserve"> - Nước máy thương phẩm</t>
  </si>
  <si>
    <t xml:space="preserve"> - Số doanh nghiệp nhà nước đang hoạt động </t>
  </si>
  <si>
    <t xml:space="preserve"> - Số doanh nghiệp nhà nước cổ phần hóa</t>
  </si>
  <si>
    <t xml:space="preserve"> - Số doanh nghiệp nhà nước thực hiện hình thức sắp xếp khác (thoái vốn, giao bán, hợp nhất, giải thể,…)</t>
  </si>
  <si>
    <t xml:space="preserve"> - Tổng vốn chủ sở hữu tại doanh nghiệp</t>
  </si>
  <si>
    <t xml:space="preserve"> - Tổng vốn điều lệ </t>
  </si>
  <si>
    <t xml:space="preserve"> - Đóng góp ngân sách</t>
  </si>
  <si>
    <t xml:space="preserve"> - Lũy kế số doanh nghiệp được thành lập</t>
  </si>
  <si>
    <t xml:space="preserve"> - Trong đó: số doanh nghiệp được thành lập mới</t>
  </si>
  <si>
    <t xml:space="preserve"> - Số doanh nghiệp kinh doanh có lãi</t>
  </si>
  <si>
    <t xml:space="preserve"> - Số lao động trong doanh nghiệp</t>
  </si>
  <si>
    <t xml:space="preserve"> - Tổng số lao động thường xuyên trong hợp tác xã</t>
  </si>
  <si>
    <t xml:space="preserve"> - Số lao động là thành viên hợp tác xã</t>
  </si>
  <si>
    <t xml:space="preserve"> - Tổng doanh thu bình quân của một hợp tác xã</t>
  </si>
  <si>
    <t xml:space="preserve"> - Trong đó: Lãi bình quân của một HTX (sau thuế)</t>
  </si>
  <si>
    <t xml:space="preserve"> - Tổng số người quản lý hợp tác xã</t>
  </si>
  <si>
    <t xml:space="preserve"> - Thu nhập bình quân một lao động thường xuyên trong hợp tác xã</t>
  </si>
  <si>
    <t xml:space="preserve"> - Tổng số liên hiệp hợp tác xã</t>
  </si>
  <si>
    <t xml:space="preserve"> - Tổng số tổ hợp tác</t>
  </si>
  <si>
    <t xml:space="preserve"> - Số sự cố tấn công mạng được phát hiện</t>
  </si>
  <si>
    <t xml:space="preserve"> - Số sự cố tấn công mạng được xử lý</t>
  </si>
  <si>
    <t xml:space="preserve"> - Tỷ lệ chất thải rắn được thu gom</t>
  </si>
  <si>
    <t xml:space="preserve"> - Số cụm công nghiệp đang hoạt động</t>
  </si>
  <si>
    <t xml:space="preserve"> - Tỷ lệ CCN đang hoạt động có hệ thống xử lý nước thải tập trung đạt tiêu chuẩn môi trường</t>
  </si>
  <si>
    <t xml:space="preserve"> - Tỷ lệ KCN đang hoạt động có hệ thống xử lý nước thải tập trung đạt tiêu chuẩn môi trường</t>
  </si>
  <si>
    <t xml:space="preserve"> - Tỷ lệ diện tích cây xanh, mặt nước của đô thị</t>
  </si>
  <si>
    <t xml:space="preserve"> - Tỷ lệ nước thải của các cơ sở sản xuất, kinh doanh và dịch vụ được xử lý đạt tiêu chuẩn môi trường </t>
  </si>
  <si>
    <t xml:space="preserve"> - Tỷ lệ chất thải nguy hại đã xử lý đạt tiêu chuẩn, quy chuẩn kỹ thuật quốc gia tương ứng</t>
  </si>
  <si>
    <t xml:space="preserve"> - Mật độ bụi trong không khí</t>
  </si>
  <si>
    <t xml:space="preserve"> - Tỷ lệ che phủ rừng (không tính cây ăn quả)</t>
  </si>
  <si>
    <t xml:space="preserve">      + Nông thôn</t>
  </si>
  <si>
    <t xml:space="preserve">      + Thành thị</t>
  </si>
  <si>
    <t xml:space="preserve"> - Số người trong độ tuổi lao động</t>
  </si>
  <si>
    <t xml:space="preserve"> - Cơ cấu lao động tham gia trong nền KTQD</t>
  </si>
  <si>
    <t xml:space="preserve"> - Tổng số người có việc làm mới trong năm</t>
  </si>
  <si>
    <t xml:space="preserve"> - Tỷ lệ lao động qua đào tạo so với tổng số lao động </t>
  </si>
  <si>
    <t xml:space="preserve"> - Tỷ lệ lao động trong độ tuổi chưa có việc làm ở khu vực thành thị</t>
  </si>
  <si>
    <t xml:space="preserve"> - Tỷ lệ thời gian lao động được sử dụng của  lao động trong độ tuổi ở nông thôn</t>
  </si>
  <si>
    <t xml:space="preserve"> - Tổng số hộ trên địa bàn (huyện, thành phố)</t>
  </si>
  <si>
    <t xml:space="preserve"> - Số hộ nghèo</t>
  </si>
  <si>
    <t xml:space="preserve"> - Số hộ nghèo giảm</t>
  </si>
  <si>
    <t xml:space="preserve"> - Tỷ lệ sản xuất thâm canh  rau theo tiêu chuẩn VietGAP</t>
  </si>
  <si>
    <t xml:space="preserve">       + Tiểu học</t>
  </si>
  <si>
    <t xml:space="preserve">       + Trung học cơ sở</t>
  </si>
  <si>
    <t xml:space="preserve">       + Trường Mầm non</t>
  </si>
  <si>
    <t xml:space="preserve">       + Trường Tiểu học</t>
  </si>
  <si>
    <t xml:space="preserve">       + Trường THCS</t>
  </si>
  <si>
    <t xml:space="preserve">       + Trường THPT</t>
  </si>
  <si>
    <t xml:space="preserve">       + Mầm non </t>
  </si>
  <si>
    <t xml:space="preserve">       + Trung học phổ thông (công lập)</t>
  </si>
  <si>
    <t xml:space="preserve">      + Trường Trung cấp Văn hoá Thể thao và Du lịch</t>
  </si>
  <si>
    <t xml:space="preserve">      + Trường Cao đẳng Nghề Công nghệ Việt -Hàn</t>
  </si>
  <si>
    <t xml:space="preserve">      + Trường Trung cấp nghề Giao thông vận tải</t>
  </si>
  <si>
    <t xml:space="preserve"> - Số sách có trong thư viện</t>
  </si>
  <si>
    <t xml:space="preserve"> - Tổng thời lượng phát thanh trong năm</t>
  </si>
  <si>
    <t xml:space="preserve"> - Tổng thời lượng truyền hình trong năm</t>
  </si>
  <si>
    <t xml:space="preserve"> - Xã đạt chuẩn văn hóa nông thôn mới (tính lũy kế)</t>
  </si>
  <si>
    <t xml:space="preserve"> - Tỷ lệ xã đạt chuẩn văn hóa nông thôn mới</t>
  </si>
  <si>
    <t xml:space="preserve"> - Số phường, thị trấn đạt chuẩn văn minh đô thị</t>
  </si>
  <si>
    <t xml:space="preserve"> - Tỷ lệ phường, thị trấn đạt chuẩn văn minh đô thị</t>
  </si>
  <si>
    <t xml:space="preserve"> - Tỷ lệ làng, bản, tổ dân phố đạt tiêu chuẩn văn hoá</t>
  </si>
  <si>
    <t xml:space="preserve">       + Số giường bệnh viện công lập</t>
  </si>
  <si>
    <t xml:space="preserve">       + Số giường xã hội hóa trong BV công lập</t>
  </si>
  <si>
    <t xml:space="preserve">       + Số giường bệnh viện ngoài công lập</t>
  </si>
  <si>
    <t xml:space="preserve">      + Thư viện tỉnh</t>
  </si>
  <si>
    <t xml:space="preserve">      + Thư viện huyện, thành phố</t>
  </si>
  <si>
    <t xml:space="preserve">       - Công nghiệp-Xây dựng</t>
  </si>
  <si>
    <t xml:space="preserve">       - Dịch vụ</t>
  </si>
  <si>
    <t xml:space="preserve">       - Thuế sản phẩm</t>
  </si>
  <si>
    <t xml:space="preserve">      - Nông, lâm nghiệp và thuỷ sản </t>
  </si>
  <si>
    <t xml:space="preserve"> Tổng thu trừ tiền sử dụng đất, thu XSKT, Thu cổ tức và lợi nhuận sau thuế </t>
  </si>
  <si>
    <t xml:space="preserve">  - Thuế thu nhập cá nhân</t>
  </si>
  <si>
    <t xml:space="preserve">  - Thuế bảo vệ môi trường</t>
  </si>
  <si>
    <t xml:space="preserve">  - Lệ phí trước bạ</t>
  </si>
  <si>
    <t xml:space="preserve">  - Khoản thu còn lại</t>
  </si>
  <si>
    <t xml:space="preserve">  - Thuế nhập khẩu</t>
  </si>
  <si>
    <t xml:space="preserve">  - Vốn cân đối ngân sách địa phương</t>
  </si>
  <si>
    <t xml:space="preserve">  - Vốn Trái phiếu chính phủ</t>
  </si>
  <si>
    <t xml:space="preserve">  - Chi sự nghiệp giáo dục- đào tạo</t>
  </si>
  <si>
    <t xml:space="preserve">  - Chi sự nghiệp y tế</t>
  </si>
  <si>
    <t xml:space="preserve">  - Chi quản lý hành chính nhà nước</t>
  </si>
  <si>
    <t xml:space="preserve">  - Chi sự nghiệp khoa học công nghệ</t>
  </si>
  <si>
    <t xml:space="preserve">     + Trồng trọt</t>
  </si>
  <si>
    <t xml:space="preserve">     + Chăn nuôi</t>
  </si>
  <si>
    <t xml:space="preserve">     + Dịch vụ nông nghiệp</t>
  </si>
  <si>
    <t>Trung tâm</t>
  </si>
  <si>
    <t>Thực
hiện cả năm</t>
  </si>
  <si>
    <t>Cơ cấu</t>
  </si>
  <si>
    <t>Năng suất lao động xã hội</t>
  </si>
  <si>
    <t>Triệu đồng/
lao động</t>
  </si>
  <si>
    <t>Tốc độ tăng năng suất lao động xã hội</t>
  </si>
  <si>
    <t>A</t>
  </si>
  <si>
    <t>Tốc độ tăng chỉ số tiêu dùng CPI bình quân</t>
  </si>
  <si>
    <t xml:space="preserve">Tỷ lệ đống góp của năng suất các nhân tố tổng hợp (TFP) vào tăng trưởng </t>
  </si>
  <si>
    <t xml:space="preserve">Tốc độ tăng năng suất lao động </t>
  </si>
  <si>
    <t>Tổng thu ngân sách trên địa bàn</t>
  </si>
  <si>
    <t>B</t>
  </si>
  <si>
    <t xml:space="preserve">Trong đó: Tỷ lệ lao động qua đào tạo có văn bằng, chứng chỉ </t>
  </si>
  <si>
    <t>Tỷ lệ người dân tham gia bảo hiển y tế</t>
  </si>
  <si>
    <t>Số giường bệnh/10.000 dân (không tính giường của Trạm y tế xã và Phòng khám ĐKKV)</t>
  </si>
  <si>
    <t>Trong đó: Tỷ lệ trường đạt chuẩn quốc gia mức độ 2</t>
  </si>
  <si>
    <t>Tỷ lệ làng, bản, tổ dân phố đạt tiêu chuẩn văn hoá</t>
  </si>
  <si>
    <t xml:space="preserve">Tỷ lệ hộ gia đình được công nhận danh hiệu gia đình văn hoá </t>
  </si>
  <si>
    <t>Tỷ lệ dân số đô thị</t>
  </si>
  <si>
    <t>XÃ HỘI</t>
  </si>
  <si>
    <t>C</t>
  </si>
  <si>
    <t>MÔI TRƯỜNG</t>
  </si>
  <si>
    <t>Tỷ lệ chất thải rắn được thu gom</t>
  </si>
  <si>
    <t>Tỷ lệ CCN đang hoạt động có hệ thống xử lý nước thải tập trung đạt tiêu chuẩn môi trường</t>
  </si>
  <si>
    <t>Tỷ lệ che phủ rừng (không tính cây ăn quả)</t>
  </si>
  <si>
    <t xml:space="preserve">Tỷ lệ nước thải của các cơ sở sản xuất, kinh doanh và dịch vụ được xử lý đạt tiêu chuẩn môi trường </t>
  </si>
  <si>
    <t>Tỷ USD</t>
  </si>
  <si>
    <t>CÁC CÂN ĐỐI CỦA NỀN KINH TẾ</t>
  </si>
  <si>
    <t xml:space="preserve">Tổng sản phẩm trên địa bàn tỉnh (GRDP) </t>
  </si>
  <si>
    <t>VỀ NGÂN SÁCH NHÀ NƯỚC</t>
  </si>
  <si>
    <t>VỀ XUẤT NHẬP KHẨU</t>
  </si>
  <si>
    <t>Tỷ lệ huy động nguồn ngân sách so với GRDP</t>
  </si>
  <si>
    <t>Tỷ lệ xuất/nhập khẩu</t>
  </si>
  <si>
    <t>VỀ NGUỒN ĐIỆN</t>
  </si>
  <si>
    <t>CƠ CẤU KINH TẾ VÀ NĂNG SUẤT LAO ĐỘNG</t>
  </si>
  <si>
    <t>THEO GIÁ HIỆN HÀNH</t>
  </si>
  <si>
    <t>Cấu cấu GRDP</t>
  </si>
  <si>
    <t>THEO GIÁ SO SÁNH</t>
  </si>
  <si>
    <t>VỀ ĐÔ THỊ, NÔNG THÔN</t>
  </si>
  <si>
    <t>Tỷ lệ đô thị hóa</t>
  </si>
  <si>
    <t>Tỷ lệ xã đạt chẩn nông thôn mới</t>
  </si>
  <si>
    <t>PHÁT TRIỂN NGÀNH, LĨNH VỰC KINH TẾ CHỦ YẾU</t>
  </si>
  <si>
    <t>Trong đó: Đạt chuẩn nông thôn mới kiểu mẫu</t>
  </si>
  <si>
    <t>VỐN ĐẦU TƯ PHÁT TRIỂN TOÀN XÃ HỘI (Theo giá hiện hành)</t>
  </si>
  <si>
    <t>Đầu tư trực tiếp nước ngoài</t>
  </si>
  <si>
    <t>Vốn thực hiện</t>
  </si>
  <si>
    <t>Triệu USD</t>
  </si>
  <si>
    <t>Vốn đăng ký</t>
  </si>
  <si>
    <t>Cấp mới</t>
  </si>
  <si>
    <t>Tăng thêm</t>
  </si>
  <si>
    <t>Biểu số 5</t>
  </si>
  <si>
    <t>CÁC LĨNH VỰC XÃ HỘI, MÔI TRƯỜNG</t>
  </si>
  <si>
    <t>Biểu mẫu số 6</t>
  </si>
  <si>
    <t>Cải cách hành chính</t>
  </si>
  <si>
    <t>Thứ hạng năng lực cạnh tranh cấp tỉnh PCI</t>
  </si>
  <si>
    <t xml:space="preserve"> - Tuổi thọ trung bình</t>
  </si>
  <si>
    <t>Tuổi</t>
  </si>
  <si>
    <r>
      <t>10</t>
    </r>
    <r>
      <rPr>
        <b/>
        <vertAlign val="superscript"/>
        <sz val="14"/>
        <rFont val="Times New Roman"/>
        <family val="1"/>
      </rPr>
      <t>3</t>
    </r>
    <r>
      <rPr>
        <b/>
        <sz val="14"/>
        <rFont val="Times New Roman"/>
        <family val="1"/>
      </rPr>
      <t xml:space="preserve"> người</t>
    </r>
  </si>
  <si>
    <t xml:space="preserve"> - Lực lượng lao động từ 15 tuổi trở lên đang làm việc</t>
  </si>
  <si>
    <t>Trong đó: - Nông, lâm nghiệp và thủy sản</t>
  </si>
  <si>
    <t xml:space="preserve">    + Tỷ lệ lao động qua đào tạo có văn bằng, chứng chỉ công nhận kết quả đào tạo </t>
  </si>
  <si>
    <t>103 người</t>
  </si>
  <si>
    <t>74,0</t>
  </si>
  <si>
    <t>Trong đó: Tỷ lệ hộ nghèo các xã ĐBKK</t>
  </si>
  <si>
    <t xml:space="preserve"> - Lực lượng lao động trong độ tuổi tham gia BHXH</t>
  </si>
  <si>
    <t>≤ 35</t>
  </si>
  <si>
    <t xml:space="preserve"> ≤ 13</t>
  </si>
  <si>
    <t>≤ 19</t>
  </si>
  <si>
    <t>Tỷ lệ trường đạt chuẩn quốc gia mức độ 1</t>
  </si>
  <si>
    <t>Tỷ lệ lao động qua đào tạo</t>
  </si>
  <si>
    <t>Tố độ tăng trưởng kinh tế GRDP</t>
  </si>
  <si>
    <t xml:space="preserve">Tốc độ tăng trưởng kinh tế (GRDP) </t>
  </si>
  <si>
    <t xml:space="preserve">                 + Công nghiệp</t>
  </si>
  <si>
    <t xml:space="preserve">                 + Xây dựng</t>
  </si>
  <si>
    <t xml:space="preserve"> Vải GlobalGAP, vải cấp mã sang thị trường Mỹ, EU,Nhật:</t>
  </si>
  <si>
    <t>Na</t>
  </si>
  <si>
    <t xml:space="preserve">Rau các loại (tính cả khoai tây)               </t>
  </si>
  <si>
    <t>Rau chế biến</t>
  </si>
  <si>
    <t>Rau an toàn</t>
  </si>
  <si>
    <t xml:space="preserve">  - Tổng số gia cầm xuất chuồng</t>
  </si>
  <si>
    <t>Tổng đàn dê</t>
  </si>
  <si>
    <t>Tổng đàn ong</t>
  </si>
  <si>
    <t>- Số sản phẩm được công nhận OCOP đạt 3 sao trở lên (tính luỹ kế)</t>
  </si>
  <si>
    <t>Sản phẩm</t>
  </si>
  <si>
    <t>Tổng vốn đầu tư phát triển toàn xã hội</t>
  </si>
  <si>
    <t>0,28</t>
  </si>
  <si>
    <t>0,054</t>
  </si>
  <si>
    <t xml:space="preserve"> - Số xã, phường, thị trấn có nhà văn hóa</t>
  </si>
  <si>
    <t>Nhà</t>
  </si>
  <si>
    <t>Tỷ lệ phường, thị trấn đạt chuẩn văn minh đô thị</t>
  </si>
  <si>
    <t xml:space="preserve">       + Số cháu ra mẫu giáo </t>
  </si>
  <si>
    <t xml:space="preserve">       + Tiểu học </t>
  </si>
  <si>
    <t xml:space="preserve">       + Giáo dục thường xuyên (Hệ bổ túc)</t>
  </si>
  <si>
    <t xml:space="preserve"> - Trường dân tộc nội trú huyện</t>
  </si>
  <si>
    <t xml:space="preserve">  - Tỷ lệ huyện, thành phố đạt phổ cập THCS MĐ2</t>
  </si>
  <si>
    <t xml:space="preserve">  - Tỷ lệ trường đạt chuẩn quốc gia MĐ1</t>
  </si>
  <si>
    <t xml:space="preserve">  - Số trường đạt chuẩn quốc gia MĐ1</t>
  </si>
  <si>
    <t>900-1.200</t>
  </si>
  <si>
    <t>600-800</t>
  </si>
  <si>
    <t>Tỷ lệ dân số được cung cấp nước sạch</t>
  </si>
  <si>
    <t xml:space="preserve"> - Tỷ lệ xã có đầy đủ các thiết chế văn hóa, thể thao cấp thôn, cấp xã</t>
  </si>
  <si>
    <t>&lt;19</t>
  </si>
  <si>
    <t xml:space="preserve"> - Số doanh nghiệp đang hoạt động có kết quả sản xuất kinh doanh (Lũy kế)</t>
  </si>
  <si>
    <t xml:space="preserve"> - Tổng số hợp tác xã</t>
  </si>
  <si>
    <t xml:space="preserve"> - Tổng số hợp tác xã đang hoạt động có kết quả sản xuất kinh doanh (Lũy kế)</t>
  </si>
  <si>
    <t xml:space="preserve"> - Tiểu học và THCS</t>
  </si>
  <si>
    <t xml:space="preserve">  - Tỷ lệ học sinh đi học</t>
  </si>
  <si>
    <t xml:space="preserve">  - Tỷ lệ giáo viên đạt chuẩn</t>
  </si>
  <si>
    <t xml:space="preserve">  - Xã, phường, thị trấn đạt phổ cập GDTH mức độ 3</t>
  </si>
  <si>
    <t xml:space="preserve">  - Số xã, phường, thị trấn đạt phổ cập THCS mức độ 3</t>
  </si>
  <si>
    <t>Vải thiều</t>
  </si>
  <si>
    <t>1000 đàn</t>
  </si>
  <si>
    <t>1000 cây</t>
  </si>
  <si>
    <t xml:space="preserve">      + Trường Cao đẳng Ngô Gia Tự</t>
  </si>
  <si>
    <t>Cây lâu năm</t>
  </si>
  <si>
    <t>Cây chè</t>
  </si>
  <si>
    <t>ha</t>
  </si>
  <si>
    <t xml:space="preserve">                    - Thịt dê</t>
  </si>
  <si>
    <t>Thứ hạng</t>
  </si>
  <si>
    <t xml:space="preserve"> - Tỷ lệ người từ 12 tuổi trở lên được tiêm đủ 02 mũi vắc xin phòng COVID-19</t>
  </si>
  <si>
    <t>&gt;95</t>
  </si>
  <si>
    <t xml:space="preserve"> - Tỷ lệ tiêm mũi tăng cường cho các đối tượng theo khuyến cáo của Bộ Y tế</t>
  </si>
  <si>
    <t xml:space="preserve"> - Tỷ lệ chất thải rắn thu gom được xử lý </t>
  </si>
  <si>
    <t>130-135</t>
  </si>
  <si>
    <r>
      <t xml:space="preserve">   </t>
    </r>
    <r>
      <rPr>
        <sz val="14"/>
        <rFont val="Times New Roman"/>
        <family val="1"/>
      </rPr>
      <t xml:space="preserve">- Nông, lâm nghiệp và thuỷ sản </t>
    </r>
  </si>
  <si>
    <r>
      <t xml:space="preserve">Tổng đàn trâu </t>
    </r>
    <r>
      <rPr>
        <sz val="14"/>
        <rFont val="Times New Roman"/>
        <family val="1"/>
      </rPr>
      <t>(trung bình năm)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</si>
  <si>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con</t>
    </r>
  </si>
  <si>
    <r>
      <t xml:space="preserve">Tổng đàn bò </t>
    </r>
    <r>
      <rPr>
        <sz val="14"/>
        <rFont val="Times New Roman"/>
        <family val="1"/>
      </rPr>
      <t>(trung bình năm)</t>
    </r>
  </si>
  <si>
    <r>
      <t xml:space="preserve">Tổng đàn lợn </t>
    </r>
    <r>
      <rPr>
        <sz val="14"/>
        <rFont val="Times New Roman"/>
        <family val="1"/>
      </rPr>
      <t>(trung bình năm)</t>
    </r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</si>
  <si>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con</t>
    </r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</si>
  <si>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quả</t>
    </r>
  </si>
  <si>
    <r>
      <t xml:space="preserve"> </t>
    </r>
    <r>
      <rPr>
        <i/>
        <sz val="14"/>
        <rFont val="Times New Roman"/>
        <family val="1"/>
      </rPr>
      <t>Trong đó: Khoán bảo vệ</t>
    </r>
  </si>
  <si>
    <r>
      <t xml:space="preserve"> - </t>
    </r>
    <r>
      <rPr>
        <sz val="14"/>
        <rFont val="Times New Roman"/>
        <family val="1"/>
      </rPr>
      <t>Trồng cây phân tán (Chương trình trồng 1 tỷ cây xanh)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</si>
  <si>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m</t>
    </r>
    <r>
      <rPr>
        <vertAlign val="superscript"/>
        <sz val="14"/>
        <rFont val="Times New Roman"/>
        <family val="1"/>
      </rPr>
      <t>3</t>
    </r>
  </si>
  <si>
    <r>
      <t>10</t>
    </r>
    <r>
      <rPr>
        <vertAlign val="superscript"/>
        <sz val="14"/>
        <rFont val="Times New Roman"/>
        <family val="1"/>
      </rPr>
      <t xml:space="preserve">3 </t>
    </r>
    <r>
      <rPr>
        <sz val="14"/>
        <rFont val="Times New Roman"/>
        <family val="1"/>
      </rPr>
      <t>tấn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</si>
  <si>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cái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</si>
  <si>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tấn</t>
    </r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</si>
  <si>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viên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</si>
  <si>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SP</t>
    </r>
  </si>
  <si>
    <r>
      <t>10</t>
    </r>
    <r>
      <rPr>
        <vertAlign val="superscript"/>
        <sz val="14"/>
        <rFont val="Times New Roman"/>
        <family val="1"/>
      </rPr>
      <t xml:space="preserve">3 </t>
    </r>
    <r>
      <rPr>
        <sz val="14"/>
        <rFont val="Times New Roman"/>
        <family val="1"/>
      </rPr>
      <t>m</t>
    </r>
    <r>
      <rPr>
        <vertAlign val="superscript"/>
        <sz val="14"/>
        <rFont val="Times New Roman"/>
        <family val="1"/>
      </rPr>
      <t>3</t>
    </r>
  </si>
  <si>
    <t>Tổng kim ngạch xuất khẩu</t>
  </si>
  <si>
    <t xml:space="preserve"> - Số người tham gia BHXH bắt buộc (lũy kế)</t>
  </si>
  <si>
    <t xml:space="preserve"> - Số người tham gia bảo hiểm thất nghiệp (lũy kế)</t>
  </si>
  <si>
    <t xml:space="preserve">GIẢM NGHÈO (theo chuẩn nghèo tiếp cận đa chiều) </t>
  </si>
  <si>
    <t>Tỷ lệ hộ nghèo (theo chuẩn nghèo mới 2021-2025)</t>
  </si>
  <si>
    <r>
      <t xml:space="preserve"> - Tỷ lệ hộ nghèo </t>
    </r>
    <r>
      <rPr>
        <i/>
        <sz val="14"/>
        <rFont val="Times New Roman"/>
        <family val="1"/>
      </rPr>
      <t>(theo chuẩn nghèo 2021-2025)</t>
    </r>
  </si>
  <si>
    <t xml:space="preserve"> - Thu từ DN có vốn đầu tư nước ngoài</t>
  </si>
  <si>
    <t>KINH TẾ</t>
  </si>
  <si>
    <t xml:space="preserve">  - Thu từ DNNN Trung ương</t>
  </si>
  <si>
    <t xml:space="preserve">  - Thu từ DNNN Địa phương</t>
  </si>
  <si>
    <t xml:space="preserve">  - Thu từ khu vực ngooài quốc doanh</t>
  </si>
  <si>
    <t xml:space="preserve">  - Thuế: Xuất khẩu, giá trị gia tăng, bảo vệ môi trường</t>
  </si>
  <si>
    <t>Trong  đó:  Đầu tư từ nguồn thu sử dụng đất</t>
  </si>
  <si>
    <t xml:space="preserve">  - Hỗ trợ có mục tiêu từ ngân sách Trung ương</t>
  </si>
  <si>
    <t>Vốn Ngân sách nhà nước</t>
  </si>
  <si>
    <t>Vốn ODA</t>
  </si>
  <si>
    <t>Vốn đầu tư của các doanh nghiệp</t>
  </si>
  <si>
    <t>So với GRDP</t>
  </si>
  <si>
    <t xml:space="preserve"> - Tỷ lệ cơ sở sản xuất, chế biến, kinh doanh nông sản, thủy sản thuộc lĩnh vực ngành NN&amp;PTNT quản lý được cấp giấy chứng nhận ATTP  </t>
  </si>
  <si>
    <t xml:space="preserve"> - Tỷ lệ cơ sở sản xuất, chế biến, kinh doanh thực phẩm thuộc lĩnh vực ngành Công Thương quản lý được cấp giấy chứng nhận ATTP  </t>
  </si>
  <si>
    <t xml:space="preserve"> - Tỷ lệ cơ sở sản xuất thực phẩm, kinh doanh dịch vụ ăn uống thuộc lĩnh vực ngành Y tế quản lý được cấp giấy chứng nhận ATTP  </t>
  </si>
  <si>
    <t xml:space="preserve"> - Tỷ lệ dân số thành thị</t>
  </si>
  <si>
    <t xml:space="preserve"> - Tỷ lệ cơ sở gây ô nhiễm môi trường nghiêm trọng được xử lý</t>
  </si>
  <si>
    <t xml:space="preserve">Tỷ lệ đóng góp của năng suất các nhân tố tổng hợp (TFP) vào tăng trưởng </t>
  </si>
  <si>
    <t>Tỷ lệ cơ sở gây ô nhiễm môi trường nghiêm trọng được xử lý</t>
  </si>
  <si>
    <t>CHỈ TIÊU TỔNG HỢP PHÁT TRIỂN KINH TẾ - XÃ HỘI</t>
  </si>
  <si>
    <t>Thực hiện  2021</t>
  </si>
  <si>
    <t>Năm 2022</t>
  </si>
  <si>
    <t>Kế hoạch  2023</t>
  </si>
  <si>
    <t>TH 2022/
TH 2021</t>
  </si>
  <si>
    <t>KH 2023/ TH 2022</t>
  </si>
  <si>
    <t>0,29</t>
  </si>
  <si>
    <t xml:space="preserve"> - Số KCN đang hoạt động</t>
  </si>
  <si>
    <t>76,0</t>
  </si>
  <si>
    <t>&lt;25</t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</si>
  <si>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chiếc</t>
    </r>
  </si>
  <si>
    <t>135-140</t>
  </si>
  <si>
    <t>- Tỷ lệ dân số nông thôn được sử dụng nước sạch đạt QCĐP 01: 2021-BG</t>
  </si>
  <si>
    <t xml:space="preserve">Tỷ lệ chất thải rắn thu gom được xử lý </t>
  </si>
  <si>
    <t xml:space="preserve"> - Số hộ cận nghèo</t>
  </si>
  <si>
    <t xml:space="preserve"> KẾ HOẠCH PHÁT TRIỂN KINH TẾ - XÃ HỘI NĂM 2023
TỈNH BẮC GIANG</t>
  </si>
  <si>
    <t xml:space="preserve"> + Trường Cao đẳng Nghề Công nghệ Việt - Hàn</t>
  </si>
  <si>
    <t xml:space="preserve"> + Trường Cao đẳng miền núi Bắc Giang</t>
  </si>
  <si>
    <t xml:space="preserve"> -</t>
  </si>
  <si>
    <t xml:space="preserve">      + Trường Cao đẳng miền núi Bắc Giang</t>
  </si>
  <si>
    <t xml:space="preserve"> - Số sinh viên tuyển mới trình độ cao đẳng </t>
  </si>
  <si>
    <t xml:space="preserve"> - Số học sinh tuyển mới trình độ trung cấp </t>
  </si>
  <si>
    <r>
      <t xml:space="preserve"> - Tỷ lệ dân số được cung cấp nước sạch</t>
    </r>
    <r>
      <rPr>
        <vertAlign val="superscript"/>
        <sz val="14"/>
        <rFont val="Times New Roman"/>
        <family val="1"/>
      </rPr>
      <t xml:space="preserve"> </t>
    </r>
    <r>
      <rPr>
        <i/>
        <sz val="13"/>
        <rFont val="Times New Roman"/>
        <family val="1"/>
      </rPr>
      <t>(Đạt QC01 trở lên)</t>
    </r>
  </si>
  <si>
    <t>(Kèm theo Kế hoạch số: 499/KH-UBND, ngày 31 tháng 7 năm 2022 của  UBND tỉnh Bắc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</si>
</sst>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8" formatCode="_(* #,##0_);_(* \(#,##0\);_(* &quot;-&quot;??_);_(@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0.000%"/>
    <numFmt numFmtId="173" formatCode="#,##0\ &quot;þ&quot;;[Red]\-#,##0\ &quot;þ&quot;"/>
    <numFmt numFmtId="174" formatCode="_-* #,##0.00\ _V_N_D_-;\-* #,##0.00\ _V_N_D_-;_-* &quot;-&quot;??\ _V_N_D_-;_-@_-"/>
    <numFmt numFmtId="175" formatCode="&quot;VND&quot;#,##0_);[Red]\(&quot;VND&quot;#,##0\)"/>
    <numFmt numFmtId="176" formatCode="_-&quot;€&quot;* #,##0_-;\-&quot;€&quot;* #,##0_-;_-&quot;€&quot;* &quot;-&quot;_-;_-@_-"/>
    <numFmt numFmtId="177" formatCode="#,##0\ &quot;€&quot;;[Red]\-#,##0\ &quot;€&quot;"/>
    <numFmt numFmtId="178" formatCode="_-&quot;€&quot;* #,##0.00_-;\-&quot;€&quot;* #,##0.00_-;_-&quot;€&quot;* &quot;-&quot;??_-;_-@_-"/>
    <numFmt numFmtId="179" formatCode="_(* #,##0.0000_);_(* \(#,##0.0000\);_(* &quot;-&quot;??_);_(@_)"/>
    <numFmt numFmtId="180" formatCode="_(* #,##0.000_);_(* \(#,##0.000\);_(* &quot;-&quot;??_);_(@_)"/>
    <numFmt numFmtId="181" formatCode="0.00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&quot;\&quot;#,##0;[Red]&quot;\&quot;&quot;\&quot;\-#,##0"/>
    <numFmt numFmtId="185" formatCode="&quot;\&quot;#,##0.00;[Red]&quot;\&quot;&quot;\&quot;&quot;\&quot;&quot;\&quot;&quot;\&quot;&quot;\&quot;\-#,##0.00"/>
    <numFmt numFmtId="186" formatCode="#,##0;\(#,##0\)"/>
    <numFmt numFmtId="187" formatCode="\t0.00%"/>
    <numFmt numFmtId="188" formatCode="\t#\ ??/??"/>
    <numFmt numFmtId="189" formatCode="#,##0.00\ &quot;F&quot;;[Red]\-#,##0.00\ &quot;F&quot;"/>
    <numFmt numFmtId="190" formatCode="_-* #,##0\ &quot;F&quot;_-;\-* #,##0\ &quot;F&quot;_-;_-* &quot;-&quot;\ &quot;F&quot;_-;_-@_-"/>
    <numFmt numFmtId="191" formatCode="#,##0\ &quot;F&quot;;[Red]\-#,##0\ &quot;F&quot;"/>
    <numFmt numFmtId="192" formatCode="#,##0.00\ &quot;F&quot;;\-#,##0.00\ &quot;F&quot;"/>
    <numFmt numFmtId="193" formatCode="00.000"/>
    <numFmt numFmtId="194" formatCode="&quot;?&quot;#,##0;&quot;?&quot;\-#,##0"/>
    <numFmt numFmtId="195" formatCode="#,##0\ &quot;DM&quot;;\-#,##0\ &quot;DM&quot;"/>
    <numFmt numFmtId="196" formatCode="0.000000"/>
    <numFmt numFmtId="197" formatCode="_-* #,##0\ _€_-;\-* #,##0\ _€_-;_-* &quot;-&quot;\ _€_-;_-@_-"/>
    <numFmt numFmtId="198" formatCode="_-* #,##0.00\ _€_-;\-* #,##0.00\ _€_-;_-* &quot;-&quot;??\ _€_-;_-@_-"/>
    <numFmt numFmtId="199" formatCode="#,##0.0_);\(#,##0.0\)"/>
    <numFmt numFmtId="200" formatCode="_ * #,##0.00_ ;_ * \-#,##0.00_ ;_ * &quot;-&quot;??_ ;_ @_ "/>
    <numFmt numFmtId="201" formatCode="#,##0&quot;$&quot;_);[Red]\(#,##0&quot;$&quot;\)"/>
    <numFmt numFmtId="202" formatCode="_-* #,##0\ _F_-;\-* #,##0\ _F_-;_-* &quot;-&quot;\ _F_-;_-@_-"/>
    <numFmt numFmtId="203" formatCode="_-* #,##0.00\ &quot;F&quot;_-;\-* #,##0.00\ &quot;F&quot;_-;_-* &quot;-&quot;??\ &quot;F&quot;_-;_-@_-"/>
    <numFmt numFmtId="204" formatCode="_-* #,##0.00\ _F_-;\-* #,##0.00\ _F_-;_-* &quot;-&quot;??\ _F_-;_-@_-"/>
    <numFmt numFmtId="205" formatCode="_ * #,##0_ ;_ * \-#,##0_ ;_ * &quot;-&quot;_ ;_ @_ "/>
    <numFmt numFmtId="206" formatCode="#,##0.00_);\-#,##0.00_)"/>
    <numFmt numFmtId="207" formatCode="#,##0_);\-#,##0_)"/>
    <numFmt numFmtId="208" formatCode="_(* #,##0.000000_);_(* \(#,##0.000000\);_(* &quot;-&quot;??_);_(@_)"/>
    <numFmt numFmtId="209" formatCode="_-* #,##0&quot;$&quot;_-;_-* #,##0&quot;$&quot;\-;_-* &quot;-&quot;&quot;$&quot;_-;_-@_-"/>
    <numFmt numFmtId="210" formatCode="_-* #,##0\ &quot;$&quot;_-;\-* #,##0\ &quot;$&quot;_-;_-* &quot;-&quot;\ &quot;$&quot;_-;_-@_-"/>
    <numFmt numFmtId="211" formatCode="_-&quot;ñ&quot;* #,##0_-;\-&quot;ñ&quot;* #,##0_-;_-&quot;ñ&quot;* &quot;-&quot;_-;_-@_-"/>
    <numFmt numFmtId="212" formatCode="_-* #,##0.00_$_-;_-* #,##0.00_$\-;_-* &quot;-&quot;??_$_-;_-@_-"/>
    <numFmt numFmtId="213" formatCode="_-* #,##0.00\ _V_N_Ñ_-;_-* #,##0.00\ _V_N_Ñ\-;_-* &quot;-&quot;??\ _V_N_Ñ_-;_-@_-"/>
    <numFmt numFmtId="214" formatCode="_-* #,##0.00\ _ñ_-;\-* #,##0.00\ _ñ_-;_-* &quot;-&quot;??\ _ñ_-;_-@_-"/>
    <numFmt numFmtId="215" formatCode="_(&quot;$&quot;\ * #,##0_);_(&quot;$&quot;\ * \(#,##0\);_(&quot;$&quot;\ * &quot;-&quot;_);_(@_)"/>
    <numFmt numFmtId="216" formatCode="_-* #,##0\ &quot;ñ&quot;_-;\-* #,##0\ &quot;ñ&quot;_-;_-* &quot;-&quot;\ &quot;ñ&quot;_-;_-@_-"/>
    <numFmt numFmtId="217" formatCode="_-* #,##0_$_-;_-* #,##0_$\-;_-* &quot;-&quot;_$_-;_-@_-"/>
    <numFmt numFmtId="218" formatCode="_-* #,##0\ _V_N_D_-;\-* #,##0\ _V_N_D_-;_-* &quot;-&quot;\ _V_N_D_-;_-@_-"/>
    <numFmt numFmtId="219" formatCode="_-* #,##0\ _V_N_Ñ_-;_-* #,##0\ _V_N_Ñ\-;_-* &quot;-&quot;\ _V_N_Ñ_-;_-@_-"/>
    <numFmt numFmtId="220" formatCode="_-* #,##0\ _$_-;\-* #,##0\ _$_-;_-* &quot;-&quot;\ _$_-;_-@_-"/>
    <numFmt numFmtId="221" formatCode="_-* #,##0\ _ñ_-;\-* #,##0\ _ñ_-;_-* &quot;-&quot;\ _ñ_-;_-@_-"/>
    <numFmt numFmtId="222" formatCode="&quot;SFr.&quot;\ #,##0.00;[Red]&quot;SFr.&quot;\ \-#,##0.00"/>
    <numFmt numFmtId="223" formatCode="_ &quot;SFr.&quot;\ * #,##0_ ;_ &quot;SFr.&quot;\ * \-#,##0_ ;_ &quot;SFr.&quot;\ * &quot;-&quot;_ ;_ @_ "/>
    <numFmt numFmtId="224" formatCode="_ &quot;\&quot;* #,##0.00_ ;_ &quot;\&quot;* \-#,##0.00_ ;_ &quot;\&quot;* &quot;-&quot;??_ ;_ @_ "/>
    <numFmt numFmtId="225" formatCode="_-[$€-2]* #,##0.00_-;\-[$€-2]* #,##0.00_-;_-[$€-2]* &quot;-&quot;??_-"/>
    <numFmt numFmtId="226" formatCode="mmm\-yyyy"/>
    <numFmt numFmtId="227" formatCode="0.000_)"/>
    <numFmt numFmtId="228" formatCode=";;"/>
    <numFmt numFmtId="229" formatCode="&quot;$&quot;\ \ \ \ #,##0_);\(&quot;$&quot;\ \ \ #,##0\)"/>
    <numFmt numFmtId="230" formatCode="&quot;$&quot;\ \ \ \ \ #,##0_);\(&quot;$&quot;\ \ \ \ \ #,##0\)"/>
    <numFmt numFmtId="231" formatCode="&quot;\&quot;#,##0.00;\-&quot;\&quot;#,##0.00"/>
    <numFmt numFmtId="232" formatCode="_(* #,##0.00000_);_(* \(#,##0.00000\);_(* &quot;-&quot;??_);_(@_)"/>
    <numFmt numFmtId="233" formatCode="_._.* #,##0.0_)_%;_._.* \(#,##0.0\)_%;_._.* \ .0_)_%"/>
    <numFmt numFmtId="234" formatCode="_._.* #,##0.000_)_%;_._.* \(#,##0.000\)_%;_._.* \ .000_)_%"/>
    <numFmt numFmtId="235" formatCode="_-* #,##0.0000\ _F_-;\-* #,##0.0000\ _F_-;_-* &quot;-&quot;??\ _F_-;_-@_-"/>
    <numFmt numFmtId="236" formatCode="&quot;$&quot;* #,##0.00_);&quot;$&quot;* \(#,##0.00\)"/>
    <numFmt numFmtId="237" formatCode="_-&quot;ß&quot;* #,##0_-;\-&quot;ß&quot;* #,##0_-;_-&quot;ß&quot;* &quot;-&quot;_-;_-@_-"/>
    <numFmt numFmtId="238" formatCode="_-&quot;ß&quot;* #,##0.00_-;\-&quot;ß&quot;* #,##0.00_-;_-&quot;ß&quot;* &quot;-&quot;??_-;_-@_-"/>
    <numFmt numFmtId="239" formatCode="&quot;$&quot;* #,##0_);&quot;$&quot;* \(#,##0\)"/>
    <numFmt numFmtId="240" formatCode="&quot;$&quot;* #,##0.00_)_%;&quot;$&quot;* \(#,##0.00\)_%"/>
    <numFmt numFmtId="241" formatCode="&quot;$&quot;* #,##0_)_%;&quot;$&quot;* \(#,##0\)_%"/>
    <numFmt numFmtId="242" formatCode="#,##0_)_%;\(#,##0\)_%"/>
    <numFmt numFmtId="243" formatCode="#,##0.00_)_%;\(#,##0.00\)_%"/>
    <numFmt numFmtId="244" formatCode="#,##0.000_);\(#,##0.000\)"/>
    <numFmt numFmtId="245" formatCode="&quot;ß&quot;\t#,##0_);\(&quot;ß&quot;\t#,##0\)"/>
    <numFmt numFmtId="246" formatCode="0.0%;[Red]\(0.0%\)"/>
    <numFmt numFmtId="247" formatCode="_ * #,##0.00_)&quot;£&quot;_ ;_ * \(#,##0.00\)&quot;£&quot;_ ;_ * &quot;-&quot;??_)&quot;£&quot;_ ;_ @_ "/>
    <numFmt numFmtId="248" formatCode="0.0%;\(0.0%\)"/>
    <numFmt numFmtId="249" formatCode="#,##0\ &quot;mk&quot;;[Red]\-#,##0\ &quot;mk&quot;"/>
    <numFmt numFmtId="250" formatCode="_-* #,##0\ _m_k_-;\-* #,##0\ _m_k_-;_-* &quot;-&quot;\ _m_k_-;_-@_-"/>
    <numFmt numFmtId="251" formatCode="&quot;\&quot;#,##0;[Red]\-&quot;\&quot;#,##0"/>
    <numFmt numFmtId="252" formatCode="#,##0\ &quot;F&quot;;\-#,##0\ &quot;F&quot;"/>
    <numFmt numFmtId="253" formatCode="\$#,##0\ ;&quot;($&quot;#,##0\)"/>
    <numFmt numFmtId="254" formatCode="_(\€* #,##0.00_);_(\€* \(#,##0.00\);_(\€* \-??_);_(@_)"/>
    <numFmt numFmtId="255" formatCode="\\#,##0;[Red]&quot;\\-&quot;#,##0"/>
    <numFmt numFmtId="256" formatCode="&quot; $&quot;#,##0\ ;&quot;-$&quot;#,##0\ ;&quot; $- &quot;;@\ "/>
    <numFmt numFmtId="257" formatCode="\\0\.00;[Red]&quot;\\\\\\-&quot;0\.00"/>
    <numFmt numFmtId="258" formatCode="#,##0.00\ ;[Red]\(#,##0.00\)"/>
    <numFmt numFmtId="259" formatCode="#,##0&quot;   &quot;;\-#,##0&quot;   &quot;;&quot; -   &quot;;@\ "/>
    <numFmt numFmtId="260" formatCode="#,##0\ ;\-#,##0\ ;&quot; - &quot;;@\ "/>
    <numFmt numFmtId="261" formatCode="&quot; $&quot;#,##0\ ;&quot; $(&quot;#,##0\);&quot; $- &quot;;@\ "/>
    <numFmt numFmtId="262" formatCode="#,##0.00\ ;\-#,##0.00\ ;&quot; -&quot;#\ ;@\ "/>
    <numFmt numFmtId="263" formatCode="#,##0.00&quot;    &quot;;\-#,##0.00&quot;    &quot;;&quot; -&quot;#&quot;    &quot;;@\ "/>
    <numFmt numFmtId="264" formatCode="#,##0&quot;    &quot;;\-#,##0&quot;    &quot;;&quot; -    &quot;;@\ "/>
    <numFmt numFmtId="265" formatCode="#,##0&quot;$ &quot;;\-#,##0&quot;$ &quot;;&quot; -$ &quot;;@\ "/>
    <numFmt numFmtId="266" formatCode="#,##0.00&quot;$ &quot;;\-#,##0.00&quot;$ &quot;;&quot; -&quot;#&quot;$ &quot;;@\ "/>
    <numFmt numFmtId="267" formatCode="#,##0\ ;&quot; -&quot;#,##0\ ;&quot; - &quot;;@\ "/>
    <numFmt numFmtId="268" formatCode="#,##0.00\ ;&quot; -&quot;#,##0.00\ ;&quot; -&quot;#\ ;@\ "/>
    <numFmt numFmtId="269" formatCode="#,##0.00&quot;   &quot;;\-#,##0.00&quot;   &quot;;&quot; -&quot;#&quot;   &quot;;@\ "/>
    <numFmt numFmtId="270" formatCode="mmm"/>
    <numFmt numFmtId="271" formatCode="#,##0\ ;&quot; (&quot;#,##0\);&quot; - &quot;;@\ "/>
    <numFmt numFmtId="272" formatCode="#,##0.00\ ;&quot; (&quot;#,##0.00\);&quot; -&quot;#\ ;@\ "/>
    <numFmt numFmtId="273" formatCode="#,##0.0\ ;&quot; (&quot;#,##0.0\);&quot; -&quot;#\ ;@\ "/>
    <numFmt numFmtId="274" formatCode="#,##0.000000\ ;&quot; (&quot;#,##0.000000\);&quot; -&quot;#\ ;@\ "/>
    <numFmt numFmtId="275" formatCode="&quot; $&quot;#,##0.00\ ;&quot;-$&quot;#,##0.00\ ;&quot; $-&quot;#\ ;@\ "/>
    <numFmt numFmtId="276" formatCode="0\.00\ "/>
    <numFmt numFmtId="277" formatCode="#,##0.00&quot; F&quot;;[Red]\-#,##0.00&quot; F&quot;"/>
    <numFmt numFmtId="278" formatCode="#,##0&quot; F &quot;;\-#,##0&quot; F &quot;;&quot; - F &quot;;@\ "/>
    <numFmt numFmtId="279" formatCode="0&quot;    &quot;"/>
    <numFmt numFmtId="280" formatCode="#,##0.00&quot; F&quot;;\-#,##0.00&quot; F&quot;"/>
    <numFmt numFmtId="281" formatCode="&quot; $&quot;#,##0.00\ ;&quot; $(&quot;#,##0.00\);&quot; $-&quot;#\ ;@\ "/>
    <numFmt numFmtId="282" formatCode="#,##0&quot;          &quot;;\-#,##0&quot;          &quot;;&quot; -          &quot;;@\ "/>
    <numFmt numFmtId="283" formatCode="#,##0.00&quot;          &quot;;\-#,##0.00&quot;          &quot;;&quot; -&quot;#&quot;          &quot;;@\ "/>
    <numFmt numFmtId="284" formatCode="0\ \ \ \ "/>
    <numFmt numFmtId="285" formatCode="0&quot;.&quot;00_)"/>
    <numFmt numFmtId="286" formatCode="&quot;D&quot;"/>
    <numFmt numFmtId="287" formatCode="&quot;$&quot;#,##0;\-&quot;$&quot;#,##0"/>
    <numFmt numFmtId="288" formatCode="#,###;\-#,###;&quot;&quot;;_(@_)"/>
  </numFmts>
  <fonts count="177">
    <font>
      <sz val="10"/>
      <name val="Arial"/>
    </font>
    <font>
      <sz val="10"/>
      <name val="Arial"/>
      <family val="2"/>
    </font>
    <font>
      <sz val="12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56"/>
      <name val="Arial"/>
      <family val="2"/>
      <charset val="163"/>
    </font>
    <font>
      <sz val="11"/>
      <color indexed="62"/>
      <name val="Arial"/>
      <family val="2"/>
      <charset val="163"/>
    </font>
    <font>
      <sz val="11"/>
      <color indexed="52"/>
      <name val="Arial"/>
      <family val="2"/>
      <charset val="163"/>
    </font>
    <font>
      <sz val="11"/>
      <color indexed="60"/>
      <name val="Arial"/>
      <family val="2"/>
      <charset val="163"/>
    </font>
    <font>
      <sz val="11"/>
      <color indexed="8"/>
      <name val="Calibri"/>
      <family val="2"/>
    </font>
    <font>
      <b/>
      <sz val="11"/>
      <color indexed="63"/>
      <name val="Arial"/>
      <family val="2"/>
      <charset val="163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4"/>
      <name val=".VnTimeH"/>
      <family val="2"/>
    </font>
    <font>
      <sz val="12"/>
      <name val="¹UAAA¼"/>
      <family val="3"/>
      <charset val="128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b/>
      <sz val="11"/>
      <name val=".VnTimeH"/>
      <family val="2"/>
    </font>
    <font>
      <sz val="14"/>
      <name val=".VnArial"/>
      <family val="2"/>
    </font>
    <font>
      <sz val="10"/>
      <name val=" "/>
      <family val="1"/>
    </font>
    <font>
      <sz val="12"/>
      <name val="바탕체"/>
      <family val="3"/>
    </font>
    <font>
      <sz val="9"/>
      <name val="Arial"/>
      <family val="2"/>
    </font>
    <font>
      <sz val="12"/>
      <name val="Courier"/>
      <family val="3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sz val="13"/>
      <name val=".VnTime"/>
      <family val="2"/>
    </font>
    <font>
      <sz val="10"/>
      <color indexed="8"/>
      <name val="Arial"/>
      <family val="2"/>
    </font>
    <font>
      <sz val="14"/>
      <name val="Times New Roman"/>
      <family val="1"/>
      <charset val="163"/>
    </font>
    <font>
      <sz val="8"/>
      <name val="Arial"/>
      <family val="2"/>
    </font>
    <font>
      <sz val="12"/>
      <name val="VNI-Times"/>
    </font>
    <font>
      <sz val="11"/>
      <name val="??"/>
      <family val="3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????"/>
      <family val="1"/>
      <charset val="136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MS Sans Serif"/>
      <family val="2"/>
    </font>
    <font>
      <sz val="10"/>
      <name val="VNI-Times"/>
    </font>
    <font>
      <sz val="10"/>
      <name val="VnTime"/>
    </font>
    <font>
      <sz val="14"/>
      <name val="Terminal"/>
      <family val="3"/>
      <charset val="128"/>
    </font>
    <font>
      <sz val="12"/>
      <color indexed="8"/>
      <name val="¹ÙÅÁÃ¼"/>
      <family val="1"/>
      <charset val="129"/>
    </font>
    <font>
      <sz val="11"/>
      <color indexed="9"/>
      <name val="Calibri"/>
      <family val="2"/>
    </font>
    <font>
      <sz val="14"/>
      <name val=".VnTime"/>
      <family val="2"/>
    </font>
    <font>
      <sz val="8"/>
      <name val="Arial"/>
      <family val="2"/>
    </font>
    <font>
      <sz val="12"/>
      <name val="¹ÙÅÁÃ¼"/>
      <charset val="129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name val="Tms Rmn"/>
    </font>
    <font>
      <sz val="10"/>
      <name val="Times New Roman"/>
      <family val="1"/>
    </font>
    <font>
      <sz val="11"/>
      <name val="µ¸¿ò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0"/>
      <name val="Arial"/>
      <family val="2"/>
    </font>
    <font>
      <b/>
      <sz val="10"/>
      <name val="Helv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Arial"/>
      <family val="2"/>
      <charset val="1"/>
    </font>
    <font>
      <sz val="10"/>
      <name val="Mangal"/>
      <family val="2"/>
    </font>
    <font>
      <b/>
      <sz val="14"/>
      <name val="Arial"/>
      <family val="2"/>
    </font>
    <font>
      <sz val="10"/>
      <name val="MS Serif"/>
      <family val="1"/>
    </font>
    <font>
      <sz val="10"/>
      <name val="Courier New"/>
      <family val="3"/>
    </font>
    <font>
      <sz val="10"/>
      <name val="Courier"/>
      <family val="3"/>
    </font>
    <font>
      <sz val="10"/>
      <color indexed="16"/>
      <name val="MS Serif"/>
      <family val="1"/>
    </font>
    <font>
      <sz val="11"/>
      <color indexed="8"/>
      <name val="Arial Unicode MS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name val="Times New Roman"/>
      <family val="1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b/>
      <sz val="11"/>
      <name val="Helv"/>
    </font>
    <font>
      <sz val="10"/>
      <name val=".VnTime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Arial"/>
      <family val="2"/>
    </font>
    <font>
      <b/>
      <i/>
      <sz val="16"/>
      <name val="Helv"/>
    </font>
    <font>
      <sz val="11"/>
      <color indexed="8"/>
      <name val="Calibri"/>
      <family val="2"/>
      <charset val="163"/>
    </font>
    <font>
      <sz val="11"/>
      <name val=".VnTime"/>
      <family val="2"/>
    </font>
    <font>
      <sz val="11"/>
      <name val="VNI-Aptima"/>
    </font>
    <font>
      <sz val="11"/>
      <name val="–¾’©"/>
      <family val="1"/>
      <charset val="128"/>
    </font>
    <font>
      <b/>
      <sz val="11"/>
      <color indexed="63"/>
      <name val="Calibri"/>
      <family val="2"/>
    </font>
    <font>
      <sz val="10"/>
      <name val="Arial"/>
      <family val="2"/>
      <charset val="204"/>
    </font>
    <font>
      <sz val="12"/>
      <name val="Helv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i/>
      <u/>
      <sz val="10"/>
      <name val="Arial"/>
      <family val="2"/>
    </font>
    <font>
      <sz val="8"/>
      <name val="Helv"/>
    </font>
    <font>
      <sz val="8"/>
      <name val="MS Sans Serif"/>
      <family val="2"/>
    </font>
    <font>
      <sz val="10"/>
      <name val="VNbook-Antiqua"/>
    </font>
    <font>
      <b/>
      <sz val="8"/>
      <color indexed="8"/>
      <name val="Helv"/>
    </font>
    <font>
      <b/>
      <sz val="8"/>
      <color indexed="8"/>
      <name val="Arial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Time"/>
      <family val="2"/>
    </font>
    <font>
      <sz val="11"/>
      <name val="VNI-Times"/>
    </font>
    <font>
      <sz val="12"/>
      <name val=".VnArial"/>
      <family val="2"/>
    </font>
    <font>
      <sz val="10"/>
      <name val="VNI-Tekon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VNI-Helve-Condense"/>
    </font>
    <font>
      <b/>
      <sz val="12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22"/>
      <name val="ＭＳ 明朝"/>
      <family val="1"/>
    </font>
    <font>
      <sz val="22"/>
      <name val="ＭＳ 明朝"/>
      <family val="1"/>
      <charset val="128"/>
    </font>
    <font>
      <sz val="16"/>
      <name val="AngsanaUPC"/>
      <family val="3"/>
    </font>
    <font>
      <sz val="12"/>
      <name val="宋体"/>
    </font>
    <font>
      <sz val="8"/>
      <name val=".VnTime"/>
      <family val="2"/>
    </font>
    <font>
      <sz val="12"/>
      <name val="Arial MT"/>
    </font>
    <font>
      <sz val="14"/>
      <color indexed="8"/>
      <name val="Times New Roman"/>
      <family val="1"/>
    </font>
    <font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name val="Times New Roman"/>
      <family val="1"/>
    </font>
    <font>
      <vertAlign val="superscript"/>
      <sz val="14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b/>
      <vertAlign val="superscript"/>
      <sz val="14"/>
      <name val="Times New Roman"/>
      <family val="1"/>
    </font>
    <font>
      <b/>
      <sz val="14"/>
      <name val="Times New Roman"/>
      <family val="1"/>
      <charset val="163"/>
    </font>
    <font>
      <b/>
      <i/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name val=".VnTime"/>
      <family val="2"/>
      <charset val="163"/>
    </font>
    <font>
      <b/>
      <sz val="14"/>
      <name val=".VnTime"/>
      <family val="2"/>
      <charset val="163"/>
    </font>
    <font>
      <sz val="16"/>
      <name val="Times New Roman"/>
      <family val="1"/>
      <charset val="163"/>
    </font>
    <font>
      <b/>
      <sz val="15"/>
      <name val="Times New Roman"/>
      <family val="1"/>
    </font>
    <font>
      <b/>
      <sz val="20"/>
      <name val="Times New Roman"/>
      <family val="1"/>
      <charset val="163"/>
    </font>
  </fonts>
  <fills count="6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2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15"/>
      </patternFill>
    </fill>
    <fill>
      <patternFill patternType="solid">
        <fgColor indexed="12"/>
        <bgColor indexed="3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darkVertical"/>
    </fill>
    <fill>
      <patternFill patternType="gray125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21">
    <xf numFmtId="0" fontId="0" fillId="0" borderId="0"/>
    <xf numFmtId="211" fontId="63" fillId="0" borderId="0" applyFont="0" applyFill="0" applyBorder="0" applyAlignment="0" applyProtection="0"/>
    <xf numFmtId="256" fontId="8" fillId="0" borderId="0" applyFill="0" applyBorder="0" applyAlignment="0" applyProtection="0"/>
    <xf numFmtId="193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94" fontId="64" fillId="0" borderId="0" applyFont="0" applyFill="0" applyBorder="0" applyAlignment="0" applyProtection="0"/>
    <xf numFmtId="255" fontId="8" fillId="0" borderId="0"/>
    <xf numFmtId="255" fontId="8" fillId="0" borderId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0" fontId="8" fillId="0" borderId="0"/>
    <xf numFmtId="195" fontId="64" fillId="0" borderId="0" applyFont="0" applyFill="0" applyBorder="0" applyAlignment="0" applyProtection="0"/>
    <xf numFmtId="257" fontId="8" fillId="0" borderId="0"/>
    <xf numFmtId="257" fontId="8" fillId="0" borderId="0"/>
    <xf numFmtId="257" fontId="8" fillId="0" borderId="0" applyFill="0" applyBorder="0" applyAlignment="0" applyProtection="0"/>
    <xf numFmtId="257" fontId="8" fillId="0" borderId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00" fontId="66" fillId="0" borderId="0" applyFont="0" applyFill="0" applyBorder="0" applyAlignment="0" applyProtection="0"/>
    <xf numFmtId="259" fontId="8" fillId="0" borderId="0"/>
    <xf numFmtId="205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256" fontId="8" fillId="0" borderId="0" applyFill="0" applyBorder="0" applyAlignment="0" applyProtection="0"/>
    <xf numFmtId="0" fontId="70" fillId="0" borderId="0"/>
    <xf numFmtId="261" fontId="8" fillId="0" borderId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42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63" fillId="0" borderId="0" applyFont="0" applyFill="0" applyBorder="0" applyAlignment="0" applyProtection="0"/>
    <xf numFmtId="210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182" fontId="63" fillId="0" borderId="0" applyFont="0" applyFill="0" applyBorder="0" applyAlignment="0" applyProtection="0"/>
    <xf numFmtId="256" fontId="8" fillId="0" borderId="0"/>
    <xf numFmtId="256" fontId="8" fillId="0" borderId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0" fontId="8" fillId="0" borderId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211" fontId="63" fillId="0" borderId="0" applyFont="0" applyFill="0" applyBorder="0" applyAlignment="0" applyProtection="0"/>
    <xf numFmtId="256" fontId="8" fillId="0" borderId="0"/>
    <xf numFmtId="165" fontId="63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165" fontId="63" fillId="0" borderId="0" applyFont="0" applyFill="0" applyBorder="0" applyAlignment="0" applyProtection="0"/>
    <xf numFmtId="212" fontId="71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200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98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12" fontId="71" fillId="0" borderId="0" applyFont="0" applyFill="0" applyBorder="0" applyAlignment="0" applyProtection="0"/>
    <xf numFmtId="213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14" fontId="71" fillId="0" borderId="0" applyFont="0" applyFill="0" applyBorder="0" applyAlignment="0" applyProtection="0"/>
    <xf numFmtId="263" fontId="8" fillId="0" borderId="0"/>
    <xf numFmtId="262" fontId="8" fillId="0" borderId="0"/>
    <xf numFmtId="164" fontId="63" fillId="0" borderId="0" applyFont="0" applyFill="0" applyBorder="0" applyAlignment="0" applyProtection="0"/>
    <xf numFmtId="260" fontId="8" fillId="0" borderId="0"/>
    <xf numFmtId="260" fontId="8" fillId="0" borderId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0" fontId="8" fillId="0" borderId="0"/>
    <xf numFmtId="164" fontId="63" fillId="0" borderId="0" applyFont="0" applyFill="0" applyBorder="0" applyAlignment="0" applyProtection="0"/>
    <xf numFmtId="209" fontId="71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42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63" fillId="0" borderId="0" applyFont="0" applyFill="0" applyBorder="0" applyAlignment="0" applyProtection="0"/>
    <xf numFmtId="210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5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6" fontId="71" fillId="0" borderId="0" applyFont="0" applyFill="0" applyBorder="0" applyAlignment="0" applyProtection="0"/>
    <xf numFmtId="261" fontId="8" fillId="0" borderId="0"/>
    <xf numFmtId="260" fontId="8" fillId="0" borderId="0"/>
    <xf numFmtId="212" fontId="71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200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98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12" fontId="71" fillId="0" borderId="0" applyFont="0" applyFill="0" applyBorder="0" applyAlignment="0" applyProtection="0"/>
    <xf numFmtId="213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14" fontId="71" fillId="0" borderId="0" applyFont="0" applyFill="0" applyBorder="0" applyAlignment="0" applyProtection="0"/>
    <xf numFmtId="165" fontId="63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165" fontId="63" fillId="0" borderId="0" applyFont="0" applyFill="0" applyBorder="0" applyAlignment="0" applyProtection="0"/>
    <xf numFmtId="262" fontId="8" fillId="0" borderId="0"/>
    <xf numFmtId="263" fontId="8" fillId="0" borderId="0"/>
    <xf numFmtId="217" fontId="71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5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97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7" fontId="71" fillId="0" borderId="0" applyFont="0" applyFill="0" applyBorder="0" applyAlignment="0" applyProtection="0"/>
    <xf numFmtId="219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5" fontId="71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21" fontId="71" fillId="0" borderId="0" applyFont="0" applyFill="0" applyBorder="0" applyAlignment="0" applyProtection="0"/>
    <xf numFmtId="264" fontId="8" fillId="0" borderId="0"/>
    <xf numFmtId="42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63" fillId="0" borderId="0" applyFont="0" applyFill="0" applyBorder="0" applyAlignment="0" applyProtection="0"/>
    <xf numFmtId="210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5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6" fontId="71" fillId="0" borderId="0" applyFont="0" applyFill="0" applyBorder="0" applyAlignment="0" applyProtection="0"/>
    <xf numFmtId="164" fontId="63" fillId="0" borderId="0" applyFont="0" applyFill="0" applyBorder="0" applyAlignment="0" applyProtection="0"/>
    <xf numFmtId="260" fontId="8" fillId="0" borderId="0"/>
    <xf numFmtId="260" fontId="8" fillId="0" borderId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0" fontId="8" fillId="0" borderId="0"/>
    <xf numFmtId="164" fontId="63" fillId="0" borderId="0" applyFont="0" applyFill="0" applyBorder="0" applyAlignment="0" applyProtection="0"/>
    <xf numFmtId="260" fontId="8" fillId="0" borderId="0"/>
    <xf numFmtId="261" fontId="8" fillId="0" borderId="0"/>
    <xf numFmtId="165" fontId="63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217" fontId="71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5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97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7" fontId="71" fillId="0" borderId="0" applyFont="0" applyFill="0" applyBorder="0" applyAlignment="0" applyProtection="0"/>
    <xf numFmtId="219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5" fontId="71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21" fontId="71" fillId="0" borderId="0" applyFont="0" applyFill="0" applyBorder="0" applyAlignment="0" applyProtection="0"/>
    <xf numFmtId="264" fontId="8" fillId="0" borderId="0"/>
    <xf numFmtId="212" fontId="71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200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98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12" fontId="71" fillId="0" borderId="0" applyFont="0" applyFill="0" applyBorder="0" applyAlignment="0" applyProtection="0"/>
    <xf numFmtId="213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14" fontId="71" fillId="0" borderId="0" applyFont="0" applyFill="0" applyBorder="0" applyAlignment="0" applyProtection="0"/>
    <xf numFmtId="263" fontId="8" fillId="0" borderId="0"/>
    <xf numFmtId="164" fontId="63" fillId="0" borderId="0" applyFont="0" applyFill="0" applyBorder="0" applyAlignment="0" applyProtection="0"/>
    <xf numFmtId="260" fontId="8" fillId="0" borderId="0"/>
    <xf numFmtId="260" fontId="8" fillId="0" borderId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0" fontId="8" fillId="0" borderId="0"/>
    <xf numFmtId="164" fontId="63" fillId="0" borderId="0" applyFont="0" applyFill="0" applyBorder="0" applyAlignment="0" applyProtection="0"/>
    <xf numFmtId="260" fontId="8" fillId="0" borderId="0"/>
    <xf numFmtId="182" fontId="63" fillId="0" borderId="0" applyFont="0" applyFill="0" applyBorder="0" applyAlignment="0" applyProtection="0"/>
    <xf numFmtId="256" fontId="8" fillId="0" borderId="0"/>
    <xf numFmtId="256" fontId="8" fillId="0" borderId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0" fontId="8" fillId="0" borderId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211" fontId="63" fillId="0" borderId="0" applyFont="0" applyFill="0" applyBorder="0" applyAlignment="0" applyProtection="0"/>
    <xf numFmtId="256" fontId="8" fillId="0" borderId="0"/>
    <xf numFmtId="165" fontId="63" fillId="0" borderId="0" applyFont="0" applyFill="0" applyBorder="0" applyAlignment="0" applyProtection="0"/>
    <xf numFmtId="262" fontId="8" fillId="0" borderId="0"/>
    <xf numFmtId="209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5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6" fontId="71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42" fontId="71" fillId="0" borderId="0" applyFont="0" applyFill="0" applyBorder="0" applyAlignment="0" applyProtection="0"/>
    <xf numFmtId="164" fontId="63" fillId="0" borderId="0" applyFont="0" applyFill="0" applyBorder="0" applyAlignment="0" applyProtection="0"/>
    <xf numFmtId="260" fontId="8" fillId="0" borderId="0"/>
    <xf numFmtId="260" fontId="8" fillId="0" borderId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0" fontId="8" fillId="0" borderId="0"/>
    <xf numFmtId="217" fontId="71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5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197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7" fontId="71" fillId="0" borderId="0" applyFont="0" applyFill="0" applyBorder="0" applyAlignment="0" applyProtection="0"/>
    <xf numFmtId="219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5" fontId="71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21" fontId="71" fillId="0" borderId="0" applyFont="0" applyFill="0" applyBorder="0" applyAlignment="0" applyProtection="0"/>
    <xf numFmtId="264" fontId="8" fillId="0" borderId="0"/>
    <xf numFmtId="212" fontId="71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200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98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12" fontId="71" fillId="0" borderId="0" applyFont="0" applyFill="0" applyBorder="0" applyAlignment="0" applyProtection="0"/>
    <xf numFmtId="213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214" fontId="71" fillId="0" borderId="0" applyFont="0" applyFill="0" applyBorder="0" applyAlignment="0" applyProtection="0"/>
    <xf numFmtId="263" fontId="8" fillId="0" borderId="0"/>
    <xf numFmtId="182" fontId="63" fillId="0" borderId="0" applyFont="0" applyFill="0" applyBorder="0" applyAlignment="0" applyProtection="0"/>
    <xf numFmtId="256" fontId="8" fillId="0" borderId="0"/>
    <xf numFmtId="256" fontId="8" fillId="0" borderId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0" fontId="8" fillId="0" borderId="0"/>
    <xf numFmtId="182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211" fontId="63" fillId="0" borderId="0" applyFont="0" applyFill="0" applyBorder="0" applyAlignment="0" applyProtection="0"/>
    <xf numFmtId="256" fontId="8" fillId="0" borderId="0"/>
    <xf numFmtId="165" fontId="63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165" fontId="63" fillId="0" borderId="0" applyFont="0" applyFill="0" applyBorder="0" applyAlignment="0" applyProtection="0"/>
    <xf numFmtId="262" fontId="8" fillId="0" borderId="0"/>
    <xf numFmtId="164" fontId="63" fillId="0" borderId="0" applyFont="0" applyFill="0" applyBorder="0" applyAlignment="0" applyProtection="0"/>
    <xf numFmtId="260" fontId="8" fillId="0" borderId="0"/>
    <xf numFmtId="256" fontId="8" fillId="0" borderId="0"/>
    <xf numFmtId="256" fontId="8" fillId="0" borderId="0"/>
    <xf numFmtId="256" fontId="8" fillId="0" borderId="0"/>
    <xf numFmtId="196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265" fontId="8" fillId="0" borderId="0"/>
    <xf numFmtId="266" fontId="8" fillId="0" borderId="0"/>
    <xf numFmtId="0" fontId="73" fillId="0" borderId="0"/>
    <xf numFmtId="0" fontId="3" fillId="2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0" borderId="0"/>
    <xf numFmtId="0" fontId="3" fillId="2" borderId="0"/>
    <xf numFmtId="0" fontId="3" fillId="3" borderId="0"/>
    <xf numFmtId="9" fontId="74" fillId="0" borderId="0" applyBorder="0" applyAlignment="0" applyProtection="0"/>
    <xf numFmtId="0" fontId="4" fillId="2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0" borderId="0"/>
    <xf numFmtId="0" fontId="4" fillId="2" borderId="0"/>
    <xf numFmtId="0" fontId="4" fillId="3" borderId="0"/>
    <xf numFmtId="0" fontId="25" fillId="4" borderId="0" applyNumberFormat="0" applyBorder="0" applyAlignment="0" applyProtection="0"/>
    <xf numFmtId="0" fontId="36" fillId="5" borderId="0"/>
    <xf numFmtId="0" fontId="36" fillId="5" borderId="0"/>
    <xf numFmtId="0" fontId="36" fillId="5" borderId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" fillId="0" borderId="0"/>
    <xf numFmtId="0" fontId="36" fillId="5" borderId="0"/>
    <xf numFmtId="0" fontId="36" fillId="5" borderId="0"/>
    <xf numFmtId="0" fontId="36" fillId="5" borderId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" fillId="0" borderId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8" fillId="0" borderId="0"/>
    <xf numFmtId="0" fontId="25" fillId="6" borderId="0" applyNumberFormat="0" applyBorder="0" applyAlignment="0" applyProtection="0"/>
    <xf numFmtId="0" fontId="36" fillId="7" borderId="0"/>
    <xf numFmtId="0" fontId="36" fillId="7" borderId="0"/>
    <xf numFmtId="0" fontId="36" fillId="7" borderId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" fillId="0" borderId="0"/>
    <xf numFmtId="0" fontId="36" fillId="7" borderId="0"/>
    <xf numFmtId="0" fontId="36" fillId="7" borderId="0"/>
    <xf numFmtId="0" fontId="36" fillId="7" borderId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" fillId="0" borderId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8" fillId="0" borderId="0"/>
    <xf numFmtId="0" fontId="25" fillId="8" borderId="0" applyNumberFormat="0" applyBorder="0" applyAlignment="0" applyProtection="0"/>
    <xf numFmtId="0" fontId="36" fillId="9" borderId="0"/>
    <xf numFmtId="0" fontId="36" fillId="9" borderId="0"/>
    <xf numFmtId="0" fontId="36" fillId="9" borderId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" fillId="0" borderId="0"/>
    <xf numFmtId="0" fontId="36" fillId="9" borderId="0"/>
    <xf numFmtId="0" fontId="36" fillId="9" borderId="0"/>
    <xf numFmtId="0" fontId="36" fillId="9" borderId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" fillId="0" borderId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8" fillId="0" borderId="0"/>
    <xf numFmtId="0" fontId="25" fillId="10" borderId="0" applyNumberFormat="0" applyBorder="0" applyAlignment="0" applyProtection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25" fillId="12" borderId="0" applyNumberFormat="0" applyBorder="0" applyAlignment="0" applyProtection="0"/>
    <xf numFmtId="0" fontId="36" fillId="13" borderId="0"/>
    <xf numFmtId="0" fontId="36" fillId="13" borderId="0"/>
    <xf numFmtId="0" fontId="36" fillId="13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8" fillId="0" borderId="0"/>
    <xf numFmtId="0" fontId="36" fillId="13" borderId="0"/>
    <xf numFmtId="0" fontId="36" fillId="13" borderId="0"/>
    <xf numFmtId="0" fontId="36" fillId="13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8" fillId="0" borderId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8" fillId="0" borderId="0"/>
    <xf numFmtId="0" fontId="25" fillId="14" borderId="0" applyNumberFormat="0" applyBorder="0" applyAlignment="0" applyProtection="0"/>
    <xf numFmtId="0" fontId="36" fillId="15" borderId="0"/>
    <xf numFmtId="0" fontId="36" fillId="15" borderId="0"/>
    <xf numFmtId="0" fontId="36" fillId="15" borderId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8" fillId="0" borderId="0"/>
    <xf numFmtId="0" fontId="36" fillId="15" borderId="0"/>
    <xf numFmtId="0" fontId="36" fillId="15" borderId="0"/>
    <xf numFmtId="0" fontId="36" fillId="15" borderId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8" fillId="0" borderId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8" fillId="0" borderId="0"/>
    <xf numFmtId="0" fontId="5" fillId="2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0" borderId="0"/>
    <xf numFmtId="0" fontId="5" fillId="2" borderId="0"/>
    <xf numFmtId="0" fontId="5" fillId="3" borderId="0"/>
    <xf numFmtId="0" fontId="19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8" fillId="0" borderId="0"/>
    <xf numFmtId="0" fontId="25" fillId="16" borderId="0" applyNumberFormat="0" applyBorder="0" applyAlignment="0" applyProtection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25" fillId="18" borderId="0" applyNumberFormat="0" applyBorder="0" applyAlignment="0" applyProtection="0"/>
    <xf numFmtId="0" fontId="36" fillId="19" borderId="0"/>
    <xf numFmtId="0" fontId="36" fillId="19" borderId="0"/>
    <xf numFmtId="0" fontId="36" fillId="19" borderId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8" fillId="0" borderId="0"/>
    <xf numFmtId="0" fontId="36" fillId="19" borderId="0"/>
    <xf numFmtId="0" fontId="36" fillId="19" borderId="0"/>
    <xf numFmtId="0" fontId="36" fillId="19" borderId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8" fillId="0" borderId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8" fillId="0" borderId="0"/>
    <xf numFmtId="0" fontId="25" fillId="20" borderId="0" applyNumberFormat="0" applyBorder="0" applyAlignment="0" applyProtection="0"/>
    <xf numFmtId="0" fontId="36" fillId="21" borderId="0"/>
    <xf numFmtId="0" fontId="36" fillId="21" borderId="0"/>
    <xf numFmtId="0" fontId="36" fillId="21" borderId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8" fillId="0" borderId="0"/>
    <xf numFmtId="0" fontId="36" fillId="21" borderId="0"/>
    <xf numFmtId="0" fontId="36" fillId="21" borderId="0"/>
    <xf numFmtId="0" fontId="36" fillId="21" borderId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8" fillId="0" borderId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8" fillId="0" borderId="0"/>
    <xf numFmtId="0" fontId="25" fillId="10" borderId="0" applyNumberFormat="0" applyBorder="0" applyAlignment="0" applyProtection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25" fillId="16" borderId="0" applyNumberFormat="0" applyBorder="0" applyAlignment="0" applyProtection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25" fillId="22" borderId="0" applyNumberFormat="0" applyBorder="0" applyAlignment="0" applyProtection="0"/>
    <xf numFmtId="0" fontId="36" fillId="23" borderId="0"/>
    <xf numFmtId="0" fontId="36" fillId="23" borderId="0"/>
    <xf numFmtId="0" fontId="36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8" fillId="0" borderId="0"/>
    <xf numFmtId="0" fontId="36" fillId="23" borderId="0"/>
    <xf numFmtId="0" fontId="36" fillId="23" borderId="0"/>
    <xf numFmtId="0" fontId="36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8" fillId="0" borderId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8" fillId="0" borderId="0"/>
    <xf numFmtId="168" fontId="40" fillId="0" borderId="1" applyNumberFormat="0" applyFont="0" applyBorder="0" applyAlignment="0">
      <alignment horizontal="center" vertical="center"/>
    </xf>
    <xf numFmtId="0" fontId="26" fillId="24" borderId="0" applyNumberFormat="0" applyBorder="0" applyAlignment="0" applyProtection="0"/>
    <xf numFmtId="0" fontId="75" fillId="25" borderId="0"/>
    <xf numFmtId="0" fontId="75" fillId="25" borderId="0"/>
    <xf numFmtId="0" fontId="75" fillId="25" borderId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8" fillId="0" borderId="0"/>
    <xf numFmtId="0" fontId="75" fillId="25" borderId="0"/>
    <xf numFmtId="0" fontId="75" fillId="25" borderId="0"/>
    <xf numFmtId="0" fontId="75" fillId="25" borderId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8" fillId="0" borderId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8" fillId="0" borderId="0"/>
    <xf numFmtId="0" fontId="26" fillId="18" borderId="0" applyNumberFormat="0" applyBorder="0" applyAlignment="0" applyProtection="0"/>
    <xf numFmtId="0" fontId="75" fillId="19" borderId="0"/>
    <xf numFmtId="0" fontId="75" fillId="19" borderId="0"/>
    <xf numFmtId="0" fontId="75" fillId="19" borderId="0"/>
    <xf numFmtId="0" fontId="75" fillId="19" borderId="0" applyNumberFormat="0" applyBorder="0" applyAlignment="0" applyProtection="0"/>
    <xf numFmtId="0" fontId="75" fillId="19" borderId="0" applyNumberFormat="0" applyBorder="0" applyAlignment="0" applyProtection="0"/>
    <xf numFmtId="0" fontId="8" fillId="0" borderId="0"/>
    <xf numFmtId="0" fontId="75" fillId="19" borderId="0"/>
    <xf numFmtId="0" fontId="75" fillId="19" borderId="0"/>
    <xf numFmtId="0" fontId="75" fillId="19" borderId="0"/>
    <xf numFmtId="0" fontId="75" fillId="19" borderId="0" applyNumberFormat="0" applyBorder="0" applyAlignment="0" applyProtection="0"/>
    <xf numFmtId="0" fontId="75" fillId="19" borderId="0" applyNumberFormat="0" applyBorder="0" applyAlignment="0" applyProtection="0"/>
    <xf numFmtId="0" fontId="8" fillId="0" borderId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8" fillId="0" borderId="0"/>
    <xf numFmtId="0" fontId="26" fillId="20" borderId="0" applyNumberFormat="0" applyBorder="0" applyAlignment="0" applyProtection="0"/>
    <xf numFmtId="0" fontId="75" fillId="21" borderId="0"/>
    <xf numFmtId="0" fontId="75" fillId="21" borderId="0"/>
    <xf numFmtId="0" fontId="75" fillId="21" borderId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8" fillId="0" borderId="0"/>
    <xf numFmtId="0" fontId="75" fillId="21" borderId="0"/>
    <xf numFmtId="0" fontId="75" fillId="21" borderId="0"/>
    <xf numFmtId="0" fontId="75" fillId="21" borderId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8" fillId="0" borderId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8" fillId="0" borderId="0"/>
    <xf numFmtId="0" fontId="26" fillId="26" borderId="0" applyNumberFormat="0" applyBorder="0" applyAlignment="0" applyProtection="0"/>
    <xf numFmtId="0" fontId="75" fillId="27" borderId="0"/>
    <xf numFmtId="0" fontId="75" fillId="27" borderId="0"/>
    <xf numFmtId="0" fontId="75" fillId="27" borderId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8" fillId="0" borderId="0"/>
    <xf numFmtId="0" fontId="75" fillId="27" borderId="0"/>
    <xf numFmtId="0" fontId="75" fillId="27" borderId="0"/>
    <xf numFmtId="0" fontId="75" fillId="27" borderId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8" fillId="0" borderId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8" fillId="0" borderId="0"/>
    <xf numFmtId="0" fontId="26" fillId="28" borderId="0" applyNumberFormat="0" applyBorder="0" applyAlignment="0" applyProtection="0"/>
    <xf numFmtId="0" fontId="75" fillId="29" borderId="0"/>
    <xf numFmtId="0" fontId="75" fillId="29" borderId="0"/>
    <xf numFmtId="0" fontId="75" fillId="29" borderId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8" fillId="0" borderId="0"/>
    <xf numFmtId="0" fontId="75" fillId="29" borderId="0"/>
    <xf numFmtId="0" fontId="75" fillId="29" borderId="0"/>
    <xf numFmtId="0" fontId="75" fillId="29" borderId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8" fillId="0" borderId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8" fillId="0" borderId="0"/>
    <xf numFmtId="0" fontId="26" fillId="30" borderId="0" applyNumberFormat="0" applyBorder="0" applyAlignment="0" applyProtection="0"/>
    <xf numFmtId="0" fontId="75" fillId="31" borderId="0"/>
    <xf numFmtId="0" fontId="75" fillId="31" borderId="0"/>
    <xf numFmtId="0" fontId="75" fillId="31" borderId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8" fillId="0" borderId="0"/>
    <xf numFmtId="0" fontId="75" fillId="31" borderId="0"/>
    <xf numFmtId="0" fontId="75" fillId="31" borderId="0"/>
    <xf numFmtId="0" fontId="75" fillId="31" borderId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8" fillId="0" borderId="0"/>
    <xf numFmtId="0" fontId="75" fillId="30" borderId="0" applyNumberFormat="0" applyBorder="0" applyAlignment="0" applyProtection="0"/>
    <xf numFmtId="0" fontId="75" fillId="31" borderId="0" applyNumberFormat="0" applyBorder="0" applyAlignment="0" applyProtection="0"/>
    <xf numFmtId="0" fontId="8" fillId="0" borderId="0"/>
    <xf numFmtId="3" fontId="76" fillId="0" borderId="0">
      <alignment vertical="center"/>
    </xf>
    <xf numFmtId="0" fontId="26" fillId="32" borderId="0" applyNumberFormat="0" applyBorder="0" applyAlignment="0" applyProtection="0"/>
    <xf numFmtId="0" fontId="75" fillId="33" borderId="0"/>
    <xf numFmtId="0" fontId="75" fillId="33" borderId="0"/>
    <xf numFmtId="0" fontId="75" fillId="33" borderId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8" fillId="0" borderId="0"/>
    <xf numFmtId="0" fontId="75" fillId="33" borderId="0"/>
    <xf numFmtId="0" fontId="75" fillId="33" borderId="0"/>
    <xf numFmtId="0" fontId="75" fillId="33" borderId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8" fillId="0" borderId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8" fillId="0" borderId="0"/>
    <xf numFmtId="0" fontId="26" fillId="34" borderId="0" applyNumberFormat="0" applyBorder="0" applyAlignment="0" applyProtection="0"/>
    <xf numFmtId="0" fontId="75" fillId="35" borderId="0"/>
    <xf numFmtId="0" fontId="75" fillId="35" borderId="0"/>
    <xf numFmtId="0" fontId="75" fillId="35" borderId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8" fillId="0" borderId="0"/>
    <xf numFmtId="0" fontId="75" fillId="35" borderId="0"/>
    <xf numFmtId="0" fontId="75" fillId="35" borderId="0"/>
    <xf numFmtId="0" fontId="75" fillId="35" borderId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8" fillId="0" borderId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8" fillId="0" borderId="0"/>
    <xf numFmtId="0" fontId="26" fillId="36" borderId="0" applyNumberFormat="0" applyBorder="0" applyAlignment="0" applyProtection="0"/>
    <xf numFmtId="0" fontId="75" fillId="37" borderId="0"/>
    <xf numFmtId="0" fontId="75" fillId="37" borderId="0"/>
    <xf numFmtId="0" fontId="75" fillId="37" borderId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8" fillId="0" borderId="0"/>
    <xf numFmtId="0" fontId="75" fillId="37" borderId="0"/>
    <xf numFmtId="0" fontId="75" fillId="37" borderId="0"/>
    <xf numFmtId="0" fontId="75" fillId="37" borderId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8" fillId="0" borderId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8" fillId="0" borderId="0"/>
    <xf numFmtId="0" fontId="26" fillId="26" borderId="0" applyNumberFormat="0" applyBorder="0" applyAlignment="0" applyProtection="0"/>
    <xf numFmtId="0" fontId="75" fillId="27" borderId="0"/>
    <xf numFmtId="0" fontId="75" fillId="27" borderId="0"/>
    <xf numFmtId="0" fontId="75" fillId="27" borderId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8" fillId="0" borderId="0"/>
    <xf numFmtId="0" fontId="75" fillId="27" borderId="0"/>
    <xf numFmtId="0" fontId="75" fillId="27" borderId="0"/>
    <xf numFmtId="0" fontId="75" fillId="27" borderId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8" fillId="0" borderId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8" fillId="0" borderId="0"/>
    <xf numFmtId="0" fontId="26" fillId="28" borderId="0" applyNumberFormat="0" applyBorder="0" applyAlignment="0" applyProtection="0"/>
    <xf numFmtId="0" fontId="75" fillId="29" borderId="0"/>
    <xf numFmtId="0" fontId="75" fillId="29" borderId="0"/>
    <xf numFmtId="0" fontId="75" fillId="29" borderId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8" fillId="0" borderId="0"/>
    <xf numFmtId="0" fontId="75" fillId="29" borderId="0"/>
    <xf numFmtId="0" fontId="75" fillId="29" borderId="0"/>
    <xf numFmtId="0" fontId="75" fillId="29" borderId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8" fillId="0" borderId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8" fillId="0" borderId="0"/>
    <xf numFmtId="0" fontId="26" fillId="38" borderId="0" applyNumberFormat="0" applyBorder="0" applyAlignment="0" applyProtection="0"/>
    <xf numFmtId="0" fontId="75" fillId="39" borderId="0"/>
    <xf numFmtId="0" fontId="75" fillId="39" borderId="0"/>
    <xf numFmtId="0" fontId="75" fillId="39" borderId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8" fillId="0" borderId="0"/>
    <xf numFmtId="0" fontId="75" fillId="39" borderId="0"/>
    <xf numFmtId="0" fontId="75" fillId="39" borderId="0"/>
    <xf numFmtId="0" fontId="75" fillId="39" borderId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8" fillId="0" borderId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 applyNumberFormat="0" applyAlignment="0"/>
    <xf numFmtId="0" fontId="77" fillId="0" borderId="0" applyNumberFormat="0" applyAlignment="0"/>
    <xf numFmtId="0" fontId="8" fillId="0" borderId="0"/>
    <xf numFmtId="0" fontId="77" fillId="0" borderId="0" applyNumberFormat="0" applyAlignment="0"/>
    <xf numFmtId="222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45" fontId="8" fillId="0" borderId="0" applyFont="0" applyFill="0" applyBorder="0" applyAlignment="0" applyProtection="0"/>
    <xf numFmtId="22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8" fillId="0" borderId="0" applyFont="0" applyFill="0" applyBorder="0" applyAlignment="0" applyProtection="0"/>
    <xf numFmtId="0" fontId="79" fillId="0" borderId="0">
      <alignment horizontal="center" wrapText="1"/>
      <protection locked="0"/>
    </xf>
    <xf numFmtId="0" fontId="79" fillId="0" borderId="0">
      <alignment horizontal="center" wrapText="1"/>
      <protection locked="0"/>
    </xf>
    <xf numFmtId="0" fontId="79" fillId="0" borderId="0">
      <alignment horizontal="center" wrapText="1"/>
      <protection locked="0"/>
    </xf>
    <xf numFmtId="0" fontId="79" fillId="0" borderId="0">
      <alignment horizontal="center" wrapText="1"/>
      <protection locked="0"/>
    </xf>
    <xf numFmtId="0" fontId="79" fillId="0" borderId="0">
      <alignment horizontal="center" wrapText="1"/>
      <protection locked="0"/>
    </xf>
    <xf numFmtId="0" fontId="8" fillId="0" borderId="0"/>
    <xf numFmtId="0" fontId="79" fillId="0" borderId="0">
      <alignment horizontal="center" wrapText="1"/>
      <protection locked="0"/>
    </xf>
    <xf numFmtId="205" fontId="78" fillId="0" borderId="0" applyFont="0" applyFill="0" applyBorder="0" applyAlignment="0" applyProtection="0"/>
    <xf numFmtId="0" fontId="41" fillId="0" borderId="0" applyFont="0" applyFill="0" applyBorder="0" applyAlignment="0" applyProtection="0"/>
    <xf numFmtId="205" fontId="78" fillId="0" borderId="0" applyFont="0" applyFill="0" applyBorder="0" applyAlignment="0" applyProtection="0"/>
    <xf numFmtId="200" fontId="78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78" fillId="0" borderId="0" applyFont="0" applyFill="0" applyBorder="0" applyAlignment="0" applyProtection="0"/>
    <xf numFmtId="182" fontId="63" fillId="0" borderId="0" applyFont="0" applyFill="0" applyBorder="0" applyAlignment="0" applyProtection="0"/>
    <xf numFmtId="256" fontId="8" fillId="0" borderId="0"/>
    <xf numFmtId="256" fontId="8" fillId="0" borderId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0" fontId="8" fillId="0" borderId="0"/>
    <xf numFmtId="182" fontId="63" fillId="0" borderId="0" applyFont="0" applyFill="0" applyBorder="0" applyAlignment="0" applyProtection="0"/>
    <xf numFmtId="0" fontId="27" fillId="6" borderId="0" applyNumberFormat="0" applyBorder="0" applyAlignment="0" applyProtection="0"/>
    <xf numFmtId="0" fontId="80" fillId="7" borderId="0"/>
    <xf numFmtId="0" fontId="80" fillId="7" borderId="0"/>
    <xf numFmtId="0" fontId="80" fillId="7" borderId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" fillId="0" borderId="0"/>
    <xf numFmtId="0" fontId="80" fillId="7" borderId="0"/>
    <xf numFmtId="0" fontId="80" fillId="7" borderId="0"/>
    <xf numFmtId="0" fontId="80" fillId="7" borderId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" fillId="0" borderId="0"/>
    <xf numFmtId="0" fontId="80" fillId="6" borderId="0" applyNumberFormat="0" applyBorder="0" applyAlignment="0" applyProtection="0"/>
    <xf numFmtId="0" fontId="80" fillId="7" borderId="0" applyNumberFormat="0" applyBorder="0" applyAlignment="0" applyProtection="0"/>
    <xf numFmtId="0" fontId="8" fillId="0" borderId="0"/>
    <xf numFmtId="0" fontId="81" fillId="0" borderId="0" applyNumberFormat="0" applyFill="0" applyBorder="0" applyAlignment="0" applyProtection="0"/>
    <xf numFmtId="0" fontId="41" fillId="0" borderId="0"/>
    <xf numFmtId="0" fontId="82" fillId="0" borderId="0"/>
    <xf numFmtId="0" fontId="7" fillId="0" borderId="0"/>
    <xf numFmtId="0" fontId="83" fillId="0" borderId="0"/>
    <xf numFmtId="259" fontId="8" fillId="0" borderId="0"/>
    <xf numFmtId="269" fontId="8" fillId="0" borderId="0"/>
    <xf numFmtId="228" fontId="70" fillId="0" borderId="0" applyFill="0" applyBorder="0" applyAlignment="0"/>
    <xf numFmtId="270" fontId="8" fillId="0" borderId="0"/>
    <xf numFmtId="270" fontId="8" fillId="0" borderId="0"/>
    <xf numFmtId="270" fontId="8" fillId="0" borderId="0" applyFill="0" applyBorder="0" applyAlignment="0"/>
    <xf numFmtId="270" fontId="8" fillId="0" borderId="0" applyFill="0" applyBorder="0" applyAlignment="0"/>
    <xf numFmtId="0" fontId="8" fillId="0" borderId="0"/>
    <xf numFmtId="270" fontId="8" fillId="0" borderId="0" applyFill="0" applyBorder="0" applyAlignment="0"/>
    <xf numFmtId="199" fontId="84" fillId="0" borderId="0" applyFill="0" applyBorder="0" applyAlignment="0"/>
    <xf numFmtId="179" fontId="84" fillId="0" borderId="0" applyFill="0" applyBorder="0" applyAlignment="0"/>
    <xf numFmtId="246" fontId="84" fillId="0" borderId="0" applyFill="0" applyBorder="0" applyAlignment="0"/>
    <xf numFmtId="247" fontId="8" fillId="0" borderId="0" applyFill="0" applyBorder="0" applyAlignment="0"/>
    <xf numFmtId="183" fontId="84" fillId="0" borderId="0" applyFill="0" applyBorder="0" applyAlignment="0"/>
    <xf numFmtId="248" fontId="84" fillId="0" borderId="0" applyFill="0" applyBorder="0" applyAlignment="0"/>
    <xf numFmtId="199" fontId="84" fillId="0" borderId="0" applyFill="0" applyBorder="0" applyAlignment="0"/>
    <xf numFmtId="0" fontId="28" fillId="40" borderId="2" applyNumberFormat="0" applyAlignment="0" applyProtection="0"/>
    <xf numFmtId="0" fontId="85" fillId="3" borderId="2"/>
    <xf numFmtId="0" fontId="85" fillId="3" borderId="2"/>
    <xf numFmtId="0" fontId="85" fillId="3" borderId="2"/>
    <xf numFmtId="0" fontId="85" fillId="3" borderId="2" applyNumberFormat="0" applyAlignment="0" applyProtection="0"/>
    <xf numFmtId="0" fontId="85" fillId="3" borderId="2" applyNumberFormat="0" applyAlignment="0" applyProtection="0"/>
    <xf numFmtId="0" fontId="8" fillId="0" borderId="0"/>
    <xf numFmtId="0" fontId="85" fillId="3" borderId="2"/>
    <xf numFmtId="0" fontId="85" fillId="3" borderId="2"/>
    <xf numFmtId="0" fontId="85" fillId="3" borderId="2"/>
    <xf numFmtId="0" fontId="85" fillId="3" borderId="2"/>
    <xf numFmtId="0" fontId="85" fillId="3" borderId="2" applyNumberFormat="0" applyAlignment="0" applyProtection="0"/>
    <xf numFmtId="0" fontId="85" fillId="3" borderId="2" applyNumberFormat="0" applyAlignment="0" applyProtection="0"/>
    <xf numFmtId="0" fontId="8" fillId="0" borderId="0"/>
    <xf numFmtId="0" fontId="85" fillId="40" borderId="2" applyNumberFormat="0" applyAlignment="0" applyProtection="0"/>
    <xf numFmtId="0" fontId="85" fillId="3" borderId="2" applyNumberFormat="0" applyAlignment="0" applyProtection="0"/>
    <xf numFmtId="0" fontId="8" fillId="0" borderId="0"/>
    <xf numFmtId="0" fontId="8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" fillId="0" borderId="0"/>
    <xf numFmtId="0" fontId="88" fillId="0" borderId="0"/>
    <xf numFmtId="0" fontId="87" fillId="0" borderId="0" applyFill="0" applyBorder="0" applyProtection="0">
      <alignment horizontal="center"/>
      <protection locked="0"/>
    </xf>
    <xf numFmtId="0" fontId="89" fillId="0" borderId="0" applyFill="0" applyBorder="0" applyProtection="0">
      <alignment horizontal="center"/>
    </xf>
    <xf numFmtId="203" fontId="71" fillId="0" borderId="0" applyFont="0" applyFill="0" applyBorder="0" applyAlignment="0" applyProtection="0"/>
    <xf numFmtId="0" fontId="29" fillId="41" borderId="3" applyNumberFormat="0" applyAlignment="0" applyProtection="0"/>
    <xf numFmtId="0" fontId="90" fillId="42" borderId="3"/>
    <xf numFmtId="0" fontId="90" fillId="42" borderId="3"/>
    <xf numFmtId="0" fontId="90" fillId="42" borderId="3"/>
    <xf numFmtId="0" fontId="90" fillId="42" borderId="3" applyNumberFormat="0" applyAlignment="0" applyProtection="0"/>
    <xf numFmtId="0" fontId="90" fillId="42" borderId="3" applyNumberFormat="0" applyAlignment="0" applyProtection="0"/>
    <xf numFmtId="0" fontId="8" fillId="0" borderId="0"/>
    <xf numFmtId="0" fontId="90" fillId="42" borderId="3"/>
    <xf numFmtId="0" fontId="90" fillId="42" borderId="3"/>
    <xf numFmtId="0" fontId="90" fillId="42" borderId="3"/>
    <xf numFmtId="0" fontId="90" fillId="42" borderId="3"/>
    <xf numFmtId="0" fontId="90" fillId="42" borderId="3" applyNumberFormat="0" applyAlignment="0" applyProtection="0"/>
    <xf numFmtId="0" fontId="90" fillId="42" borderId="3" applyNumberFormat="0" applyAlignment="0" applyProtection="0"/>
    <xf numFmtId="0" fontId="8" fillId="0" borderId="0"/>
    <xf numFmtId="0" fontId="90" fillId="41" borderId="3" applyNumberFormat="0" applyAlignment="0" applyProtection="0"/>
    <xf numFmtId="0" fontId="90" fillId="42" borderId="3" applyNumberFormat="0" applyAlignment="0" applyProtection="0"/>
    <xf numFmtId="0" fontId="8" fillId="0" borderId="0"/>
    <xf numFmtId="1" fontId="91" fillId="0" borderId="0"/>
    <xf numFmtId="1" fontId="91" fillId="0" borderId="0"/>
    <xf numFmtId="1" fontId="91" fillId="0" borderId="0"/>
    <xf numFmtId="1" fontId="91" fillId="0" borderId="0" applyBorder="0"/>
    <xf numFmtId="1" fontId="91" fillId="0" borderId="0" applyBorder="0"/>
    <xf numFmtId="0" fontId="8" fillId="0" borderId="0"/>
    <xf numFmtId="1" fontId="91" fillId="0" borderId="4" applyBorder="0"/>
    <xf numFmtId="0" fontId="92" fillId="0" borderId="5">
      <alignment horizontal="center"/>
    </xf>
    <xf numFmtId="43" fontId="1" fillId="0" borderId="0" applyFont="0" applyFill="0" applyBorder="0" applyAlignment="0" applyProtection="0"/>
    <xf numFmtId="227" fontId="93" fillId="0" borderId="0"/>
    <xf numFmtId="227" fontId="93" fillId="0" borderId="0"/>
    <xf numFmtId="227" fontId="93" fillId="0" borderId="0"/>
    <xf numFmtId="227" fontId="93" fillId="0" borderId="0"/>
    <xf numFmtId="227" fontId="93" fillId="0" borderId="0"/>
    <xf numFmtId="227" fontId="93" fillId="0" borderId="0"/>
    <xf numFmtId="227" fontId="93" fillId="0" borderId="0"/>
    <xf numFmtId="227" fontId="93" fillId="0" borderId="0"/>
    <xf numFmtId="271" fontId="8" fillId="0" borderId="0"/>
    <xf numFmtId="271" fontId="8" fillId="0" borderId="0"/>
    <xf numFmtId="271" fontId="8" fillId="0" borderId="0"/>
    <xf numFmtId="271" fontId="8" fillId="0" borderId="0" applyFill="0" applyBorder="0" applyAlignment="0" applyProtection="0"/>
    <xf numFmtId="271" fontId="8" fillId="0" borderId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183" fontId="84" fillId="0" borderId="0" applyFont="0" applyFill="0" applyBorder="0" applyAlignment="0" applyProtection="0"/>
    <xf numFmtId="233" fontId="94" fillId="0" borderId="0" applyFont="0" applyFill="0" applyBorder="0" applyAlignment="0" applyProtection="0"/>
    <xf numFmtId="39" fontId="95" fillId="0" borderId="0" applyFont="0" applyFill="0" applyBorder="0" applyAlignment="0" applyProtection="0"/>
    <xf numFmtId="234" fontId="96" fillId="0" borderId="0" applyFont="0" applyFill="0" applyBorder="0" applyAlignment="0" applyProtection="0"/>
    <xf numFmtId="272" fontId="8" fillId="0" borderId="0"/>
    <xf numFmtId="272" fontId="8" fillId="0" borderId="0"/>
    <xf numFmtId="43" fontId="36" fillId="0" borderId="0" applyFont="0" applyFill="0" applyBorder="0" applyAlignment="0" applyProtection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97" fillId="0" borderId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97" fillId="0" borderId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97" fillId="0" borderId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272" fontId="97" fillId="0" borderId="0" applyFill="0" applyBorder="0" applyAlignment="0" applyProtection="0"/>
    <xf numFmtId="272" fontId="97" fillId="0" borderId="0" applyFill="0" applyBorder="0" applyAlignment="0" applyProtection="0"/>
    <xf numFmtId="174" fontId="8" fillId="0" borderId="0" applyFont="0" applyFill="0" applyBorder="0" applyAlignment="0" applyProtection="0"/>
    <xf numFmtId="272" fontId="8" fillId="0" borderId="0"/>
    <xf numFmtId="43" fontId="8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8" fillId="0" borderId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98" fillId="0" borderId="0" applyFill="0" applyBorder="0" applyAlignment="0" applyProtection="0"/>
    <xf numFmtId="272" fontId="97" fillId="0" borderId="0" applyFill="0" applyBorder="0" applyAlignment="0" applyProtection="0"/>
    <xf numFmtId="287" fontId="52" fillId="0" borderId="0" applyProtection="0"/>
    <xf numFmtId="173" fontId="2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272" fontId="8" fillId="0" borderId="0" applyFill="0" applyBorder="0" applyAlignment="0" applyProtection="0"/>
    <xf numFmtId="272" fontId="97" fillId="0" borderId="0" applyFill="0" applyBorder="0" applyAlignment="0" applyProtection="0"/>
    <xf numFmtId="173" fontId="2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2" fontId="97" fillId="0" borderId="0" applyFill="0" applyBorder="0" applyAlignment="0" applyProtection="0"/>
    <xf numFmtId="173" fontId="2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2" fontId="97" fillId="0" borderId="0" applyFill="0" applyBorder="0" applyAlignment="0" applyProtection="0"/>
    <xf numFmtId="272" fontId="97" fillId="0" borderId="0" applyFill="0" applyBorder="0" applyAlignment="0" applyProtection="0"/>
    <xf numFmtId="43" fontId="20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2" fontId="97" fillId="0" borderId="0" applyFill="0" applyBorder="0" applyAlignment="0" applyProtection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2" fontId="8" fillId="0" borderId="0" applyFill="0" applyBorder="0" applyAlignment="0" applyProtection="0"/>
    <xf numFmtId="272" fontId="97" fillId="0" borderId="0" applyFill="0" applyBorder="0" applyAlignment="0" applyProtection="0"/>
    <xf numFmtId="272" fontId="97" fillId="0" borderId="0" applyFill="0" applyBorder="0" applyAlignment="0" applyProtection="0"/>
    <xf numFmtId="272" fontId="97" fillId="0" borderId="0" applyFill="0" applyBorder="0" applyAlignment="0" applyProtection="0"/>
    <xf numFmtId="272" fontId="97" fillId="0" borderId="0" applyFill="0" applyBorder="0" applyAlignment="0" applyProtection="0"/>
    <xf numFmtId="186" fontId="20" fillId="0" borderId="0"/>
    <xf numFmtId="3" fontId="8" fillId="0" borderId="0" applyFont="0" applyFill="0" applyBorder="0" applyAlignment="0" applyProtection="0"/>
    <xf numFmtId="3" fontId="8" fillId="0" borderId="0"/>
    <xf numFmtId="3" fontId="8" fillId="0" borderId="0"/>
    <xf numFmtId="3" fontId="8" fillId="0" borderId="0"/>
    <xf numFmtId="3" fontId="8" fillId="0" borderId="0" applyFill="0" applyAlignment="0" applyProtection="0"/>
    <xf numFmtId="3" fontId="8" fillId="0" borderId="0" applyFill="0" applyAlignment="0" applyProtection="0"/>
    <xf numFmtId="0" fontId="8" fillId="0" borderId="0"/>
    <xf numFmtId="3" fontId="8" fillId="0" borderId="0" applyFill="0" applyAlignment="0" applyProtection="0"/>
    <xf numFmtId="3" fontId="8" fillId="0" borderId="0"/>
    <xf numFmtId="3" fontId="8" fillId="0" borderId="0"/>
    <xf numFmtId="3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3" fontId="8" fillId="0" borderId="0" applyFont="0" applyFill="0" applyBorder="0" applyAlignment="0" applyProtection="0"/>
    <xf numFmtId="0" fontId="99" fillId="0" borderId="0" applyFill="0" applyBorder="0" applyAlignment="0" applyProtection="0">
      <protection locked="0"/>
    </xf>
    <xf numFmtId="0" fontId="100" fillId="0" borderId="0" applyNumberFormat="0" applyAlignment="0">
      <alignment horizontal="left"/>
    </xf>
    <xf numFmtId="0" fontId="100" fillId="0" borderId="0"/>
    <xf numFmtId="0" fontId="100" fillId="0" borderId="0"/>
    <xf numFmtId="0" fontId="100" fillId="0" borderId="0" applyNumberFormat="0" applyAlignment="0"/>
    <xf numFmtId="0" fontId="100" fillId="0" borderId="0" applyNumberFormat="0" applyAlignment="0"/>
    <xf numFmtId="0" fontId="8" fillId="0" borderId="0"/>
    <xf numFmtId="0" fontId="100" fillId="0" borderId="0" applyNumberFormat="0" applyAlignment="0">
      <alignment horizontal="left"/>
    </xf>
    <xf numFmtId="0" fontId="101" fillId="0" borderId="0"/>
    <xf numFmtId="0" fontId="101" fillId="0" borderId="0"/>
    <xf numFmtId="0" fontId="101" fillId="0" borderId="0"/>
    <xf numFmtId="0" fontId="101" fillId="0" borderId="0" applyNumberFormat="0" applyAlignment="0"/>
    <xf numFmtId="0" fontId="101" fillId="0" borderId="0" applyNumberFormat="0" applyAlignment="0"/>
    <xf numFmtId="0" fontId="8" fillId="0" borderId="0"/>
    <xf numFmtId="0" fontId="102" fillId="0" borderId="0" applyNumberFormat="0" applyAlignment="0"/>
    <xf numFmtId="199" fontId="84" fillId="0" borderId="0" applyFont="0" applyFill="0" applyBorder="0" applyAlignment="0" applyProtection="0"/>
    <xf numFmtId="235" fontId="8" fillId="0" borderId="0" applyFont="0" applyFill="0" applyBorder="0" applyAlignment="0" applyProtection="0"/>
    <xf numFmtId="236" fontId="95" fillId="0" borderId="0" applyFont="0" applyFill="0" applyBorder="0" applyAlignment="0" applyProtection="0"/>
    <xf numFmtId="18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253" fontId="8" fillId="0" borderId="0"/>
    <xf numFmtId="253" fontId="8" fillId="0" borderId="0"/>
    <xf numFmtId="253" fontId="8" fillId="0" borderId="0"/>
    <xf numFmtId="253" fontId="8" fillId="0" borderId="0" applyFill="0" applyAlignment="0" applyProtection="0"/>
    <xf numFmtId="253" fontId="8" fillId="0" borderId="0" applyFill="0" applyAlignment="0" applyProtection="0"/>
    <xf numFmtId="0" fontId="8" fillId="0" borderId="0"/>
    <xf numFmtId="253" fontId="8" fillId="0" borderId="0" applyFill="0" applyAlignment="0" applyProtection="0"/>
    <xf numFmtId="253" fontId="8" fillId="0" borderId="0"/>
    <xf numFmtId="253" fontId="8" fillId="0" borderId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0" fontId="8" fillId="0" borderId="0"/>
    <xf numFmtId="171" fontId="8" fillId="0" borderId="0" applyFont="0" applyFill="0" applyBorder="0" applyAlignment="0" applyProtection="0"/>
    <xf numFmtId="187" fontId="8" fillId="0" borderId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Alignment="0" applyProtection="0"/>
    <xf numFmtId="0" fontId="8" fillId="0" borderId="0" applyFill="0" applyAlignment="0" applyProtection="0"/>
    <xf numFmtId="0" fontId="8" fillId="0" borderId="0"/>
    <xf numFmtId="0" fontId="8" fillId="0" borderId="0" applyFill="0" applyAlignment="0" applyProtection="0"/>
    <xf numFmtId="0" fontId="8" fillId="0" borderId="0"/>
    <xf numFmtId="0" fontId="8" fillId="0" borderId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/>
    <xf numFmtId="14" fontId="60" fillId="0" borderId="0" applyFill="0" applyBorder="0" applyAlignment="0"/>
    <xf numFmtId="0" fontId="8" fillId="0" borderId="0" applyFont="0" applyFill="0" applyBorder="0" applyAlignment="0" applyProtection="0"/>
    <xf numFmtId="229" fontId="70" fillId="0" borderId="0" applyFont="0" applyFill="0" applyBorder="0" applyAlignment="0" applyProtection="0"/>
    <xf numFmtId="230" fontId="70" fillId="0" borderId="0" applyFont="0" applyFill="0" applyBorder="0" applyAlignment="0" applyProtection="0"/>
    <xf numFmtId="188" fontId="8" fillId="0" borderId="0"/>
    <xf numFmtId="3" fontId="2" fillId="0" borderId="0" applyFont="0" applyBorder="0" applyAlignment="0"/>
    <xf numFmtId="0" fontId="71" fillId="0" borderId="6">
      <alignment horizontal="left"/>
    </xf>
    <xf numFmtId="0" fontId="71" fillId="0" borderId="6">
      <alignment horizontal="left"/>
    </xf>
    <xf numFmtId="0" fontId="71" fillId="0" borderId="6">
      <alignment horizontal="left"/>
    </xf>
    <xf numFmtId="0" fontId="71" fillId="0" borderId="6">
      <alignment horizontal="left"/>
    </xf>
    <xf numFmtId="0" fontId="71" fillId="0" borderId="6">
      <alignment horizontal="left"/>
    </xf>
    <xf numFmtId="0" fontId="8" fillId="0" borderId="0"/>
    <xf numFmtId="0" fontId="71" fillId="0" borderId="7">
      <alignment horizontal="left"/>
    </xf>
    <xf numFmtId="183" fontId="84" fillId="0" borderId="0" applyFill="0" applyBorder="0" applyAlignment="0"/>
    <xf numFmtId="199" fontId="84" fillId="0" borderId="0" applyFill="0" applyBorder="0" applyAlignment="0"/>
    <xf numFmtId="183" fontId="84" fillId="0" borderId="0" applyFill="0" applyBorder="0" applyAlignment="0"/>
    <xf numFmtId="248" fontId="84" fillId="0" borderId="0" applyFill="0" applyBorder="0" applyAlignment="0"/>
    <xf numFmtId="199" fontId="84" fillId="0" borderId="0" applyFill="0" applyBorder="0" applyAlignment="0"/>
    <xf numFmtId="0" fontId="103" fillId="0" borderId="0" applyNumberFormat="0" applyAlignment="0">
      <alignment horizontal="left"/>
    </xf>
    <xf numFmtId="0" fontId="103" fillId="0" borderId="0"/>
    <xf numFmtId="0" fontId="103" fillId="0" borderId="0"/>
    <xf numFmtId="0" fontId="103" fillId="0" borderId="0" applyNumberFormat="0" applyAlignment="0"/>
    <xf numFmtId="0" fontId="103" fillId="0" borderId="0" applyNumberFormat="0" applyAlignment="0"/>
    <xf numFmtId="0" fontId="8" fillId="0" borderId="0"/>
    <xf numFmtId="0" fontId="103" fillId="0" borderId="0" applyNumberFormat="0" applyAlignment="0">
      <alignment horizontal="left"/>
    </xf>
    <xf numFmtId="225" fontId="2" fillId="0" borderId="0" applyFont="0" applyFill="0" applyBorder="0" applyAlignment="0" applyProtection="0"/>
    <xf numFmtId="272" fontId="8" fillId="0" borderId="0"/>
    <xf numFmtId="0" fontId="8" fillId="0" borderId="0"/>
    <xf numFmtId="0" fontId="104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104" fillId="0" borderId="0"/>
    <xf numFmtId="0" fontId="104" fillId="0" borderId="0"/>
    <xf numFmtId="0" fontId="8" fillId="0" borderId="0"/>
    <xf numFmtId="0" fontId="36" fillId="0" borderId="0"/>
    <xf numFmtId="272" fontId="8" fillId="0" borderId="0" applyFill="0" applyBorder="0" applyAlignment="0" applyProtection="0"/>
    <xf numFmtId="0" fontId="30" fillId="0" borderId="0" applyNumberFormat="0" applyFill="0" applyBorder="0" applyAlignment="0" applyProtection="0"/>
    <xf numFmtId="0" fontId="105" fillId="0" borderId="0"/>
    <xf numFmtId="0" fontId="105" fillId="0" borderId="0"/>
    <xf numFmtId="0" fontId="105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" fillId="0" borderId="0"/>
    <xf numFmtId="0" fontId="105" fillId="0" borderId="0"/>
    <xf numFmtId="0" fontId="105" fillId="0" borderId="0"/>
    <xf numFmtId="0" fontId="105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" fillId="0" borderId="0"/>
    <xf numFmtId="3" fontId="2" fillId="0" borderId="0" applyFont="0" applyBorder="0" applyAlignment="0"/>
    <xf numFmtId="2" fontId="8" fillId="0" borderId="0" applyFont="0" applyFill="0" applyBorder="0" applyAlignment="0" applyProtection="0"/>
    <xf numFmtId="2" fontId="8" fillId="0" borderId="0"/>
    <xf numFmtId="2" fontId="8" fillId="0" borderId="0"/>
    <xf numFmtId="2" fontId="8" fillId="0" borderId="0"/>
    <xf numFmtId="2" fontId="8" fillId="0" borderId="0" applyFill="0" applyAlignment="0" applyProtection="0"/>
    <xf numFmtId="2" fontId="8" fillId="0" borderId="0" applyFill="0" applyAlignment="0" applyProtection="0"/>
    <xf numFmtId="0" fontId="8" fillId="0" borderId="0"/>
    <xf numFmtId="2" fontId="8" fillId="0" borderId="0" applyFill="0" applyAlignment="0" applyProtection="0"/>
    <xf numFmtId="2" fontId="8" fillId="0" borderId="0"/>
    <xf numFmtId="2" fontId="8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2" fontId="8" fillId="0" borderId="0" applyFont="0" applyFill="0" applyBorder="0" applyAlignment="0" applyProtection="0"/>
    <xf numFmtId="0" fontId="31" fillId="8" borderId="0" applyNumberFormat="0" applyBorder="0" applyAlignment="0" applyProtection="0"/>
    <xf numFmtId="0" fontId="106" fillId="9" borderId="0"/>
    <xf numFmtId="0" fontId="106" fillId="9" borderId="0"/>
    <xf numFmtId="0" fontId="106" fillId="9" borderId="0"/>
    <xf numFmtId="0" fontId="106" fillId="9" borderId="0" applyNumberFormat="0" applyBorder="0" applyAlignment="0" applyProtection="0"/>
    <xf numFmtId="0" fontId="106" fillId="9" borderId="0" applyNumberFormat="0" applyBorder="0" applyAlignment="0" applyProtection="0"/>
    <xf numFmtId="0" fontId="8" fillId="0" borderId="0"/>
    <xf numFmtId="0" fontId="106" fillId="9" borderId="0"/>
    <xf numFmtId="0" fontId="106" fillId="9" borderId="0"/>
    <xf numFmtId="0" fontId="106" fillId="9" borderId="0"/>
    <xf numFmtId="0" fontId="106" fillId="9" borderId="0" applyNumberFormat="0" applyBorder="0" applyAlignment="0" applyProtection="0"/>
    <xf numFmtId="0" fontId="106" fillId="9" borderId="0" applyNumberFormat="0" applyBorder="0" applyAlignment="0" applyProtection="0"/>
    <xf numFmtId="0" fontId="8" fillId="0" borderId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8" fillId="0" borderId="0"/>
    <xf numFmtId="38" fontId="77" fillId="2" borderId="0" applyNumberFormat="0" applyBorder="0" applyAlignment="0" applyProtection="0"/>
    <xf numFmtId="0" fontId="77" fillId="43" borderId="0"/>
    <xf numFmtId="0" fontId="77" fillId="43" borderId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8" fillId="0" borderId="0"/>
    <xf numFmtId="38" fontId="77" fillId="44" borderId="0" applyNumberFormat="0" applyBorder="0" applyAlignment="0" applyProtection="0"/>
    <xf numFmtId="207" fontId="107" fillId="2" borderId="0" applyBorder="0" applyProtection="0"/>
    <xf numFmtId="288" fontId="59" fillId="0" borderId="0" applyFont="0" applyFill="0" applyBorder="0" applyAlignment="0" applyProtection="0"/>
    <xf numFmtId="0" fontId="108" fillId="45" borderId="0"/>
    <xf numFmtId="0" fontId="109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8" fillId="0" borderId="0"/>
    <xf numFmtId="0" fontId="110" fillId="0" borderId="0">
      <alignment horizontal="left"/>
    </xf>
    <xf numFmtId="0" fontId="10" fillId="0" borderId="8" applyNumberFormat="0" applyAlignment="0" applyProtection="0">
      <alignment horizontal="left" vertical="center"/>
    </xf>
    <xf numFmtId="0" fontId="10" fillId="0" borderId="9"/>
    <xf numFmtId="0" fontId="10" fillId="0" borderId="9"/>
    <xf numFmtId="0" fontId="10" fillId="0" borderId="9" applyNumberFormat="0" applyAlignment="0" applyProtection="0"/>
    <xf numFmtId="0" fontId="10" fillId="0" borderId="9" applyNumberFormat="0" applyAlignment="0" applyProtection="0"/>
    <xf numFmtId="0" fontId="8" fillId="0" borderId="0"/>
    <xf numFmtId="0" fontId="10" fillId="0" borderId="8" applyNumberFormat="0" applyAlignment="0" applyProtection="0">
      <alignment horizontal="left" vertical="center"/>
    </xf>
    <xf numFmtId="0" fontId="10" fillId="0" borderId="10">
      <alignment horizontal="left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8" fillId="0" borderId="0"/>
    <xf numFmtId="0" fontId="10" fillId="0" borderId="10">
      <alignment horizontal="left" vertical="center"/>
    </xf>
    <xf numFmtId="0" fontId="9" fillId="0" borderId="0" applyNumberFormat="0" applyFill="0" applyBorder="0" applyAlignment="0" applyProtection="0"/>
    <xf numFmtId="0" fontId="111" fillId="0" borderId="12"/>
    <xf numFmtId="0" fontId="111" fillId="0" borderId="12"/>
    <xf numFmtId="0" fontId="9" fillId="0" borderId="0"/>
    <xf numFmtId="0" fontId="9" fillId="0" borderId="0"/>
    <xf numFmtId="0" fontId="9" fillId="0" borderId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8" fillId="0" borderId="0"/>
    <xf numFmtId="0" fontId="111" fillId="0" borderId="12"/>
    <xf numFmtId="0" fontId="111" fillId="0" borderId="12" applyNumberFormat="0" applyFill="0" applyAlignment="0" applyProtection="0"/>
    <xf numFmtId="0" fontId="111" fillId="0" borderId="12" applyNumberFormat="0" applyFill="0" applyAlignment="0" applyProtection="0"/>
    <xf numFmtId="0" fontId="8" fillId="0" borderId="0"/>
    <xf numFmtId="0" fontId="9" fillId="0" borderId="0" applyNumberFormat="0" applyFill="0" applyAlignment="0" applyProtection="0"/>
    <xf numFmtId="0" fontId="111" fillId="0" borderId="12"/>
    <xf numFmtId="0" fontId="111" fillId="0" borderId="12"/>
    <xf numFmtId="0" fontId="111" fillId="0" borderId="12"/>
    <xf numFmtId="0" fontId="111" fillId="0" borderId="12" applyNumberFormat="0" applyFill="0" applyAlignment="0" applyProtection="0"/>
    <xf numFmtId="0" fontId="111" fillId="0" borderId="12" applyNumberFormat="0" applyFill="0" applyAlignment="0" applyProtection="0"/>
    <xf numFmtId="0" fontId="8" fillId="0" borderId="0"/>
    <xf numFmtId="0" fontId="111" fillId="0" borderId="12" applyNumberFormat="0" applyFill="0" applyAlignment="0" applyProtection="0"/>
    <xf numFmtId="0" fontId="111" fillId="0" borderId="12" applyNumberFormat="0" applyFill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112" fillId="0" borderId="13"/>
    <xf numFmtId="0" fontId="112" fillId="0" borderId="13"/>
    <xf numFmtId="0" fontId="10" fillId="0" borderId="0"/>
    <xf numFmtId="0" fontId="10" fillId="0" borderId="0"/>
    <xf numFmtId="0" fontId="10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8" fillId="0" borderId="0"/>
    <xf numFmtId="0" fontId="112" fillId="0" borderId="13"/>
    <xf numFmtId="0" fontId="112" fillId="0" borderId="13" applyNumberFormat="0" applyFill="0" applyAlignment="0" applyProtection="0"/>
    <xf numFmtId="0" fontId="112" fillId="0" borderId="13" applyNumberFormat="0" applyFill="0" applyAlignment="0" applyProtection="0"/>
    <xf numFmtId="0" fontId="8" fillId="0" borderId="0"/>
    <xf numFmtId="0" fontId="10" fillId="0" borderId="0" applyNumberFormat="0" applyFill="0" applyAlignment="0" applyProtection="0"/>
    <xf numFmtId="0" fontId="112" fillId="0" borderId="13"/>
    <xf numFmtId="0" fontId="112" fillId="0" borderId="13"/>
    <xf numFmtId="0" fontId="112" fillId="0" borderId="13"/>
    <xf numFmtId="0" fontId="112" fillId="0" borderId="13" applyNumberFormat="0" applyFill="0" applyAlignment="0" applyProtection="0"/>
    <xf numFmtId="0" fontId="112" fillId="0" borderId="13" applyNumberFormat="0" applyFill="0" applyAlignment="0" applyProtection="0"/>
    <xf numFmtId="0" fontId="8" fillId="0" borderId="0"/>
    <xf numFmtId="0" fontId="112" fillId="0" borderId="13" applyNumberFormat="0" applyFill="0" applyAlignment="0" applyProtection="0"/>
    <xf numFmtId="0" fontId="112" fillId="0" borderId="13" applyNumberFormat="0" applyFill="0" applyAlignment="0" applyProtection="0"/>
    <xf numFmtId="0" fontId="8" fillId="0" borderId="0"/>
    <xf numFmtId="0" fontId="32" fillId="0" borderId="14" applyNumberFormat="0" applyFill="0" applyAlignment="0" applyProtection="0"/>
    <xf numFmtId="0" fontId="113" fillId="0" borderId="14"/>
    <xf numFmtId="0" fontId="113" fillId="0" borderId="14"/>
    <xf numFmtId="0" fontId="113" fillId="0" borderId="14"/>
    <xf numFmtId="0" fontId="113" fillId="0" borderId="14" applyNumberFormat="0" applyFill="0" applyAlignment="0" applyProtection="0"/>
    <xf numFmtId="0" fontId="113" fillId="0" borderId="14" applyNumberFormat="0" applyFill="0" applyAlignment="0" applyProtection="0"/>
    <xf numFmtId="0" fontId="8" fillId="0" borderId="0"/>
    <xf numFmtId="0" fontId="113" fillId="0" borderId="14"/>
    <xf numFmtId="0" fontId="113" fillId="0" borderId="14"/>
    <xf numFmtId="0" fontId="113" fillId="0" borderId="14"/>
    <xf numFmtId="0" fontId="113" fillId="0" borderId="14"/>
    <xf numFmtId="0" fontId="113" fillId="0" borderId="14" applyNumberFormat="0" applyFill="0" applyAlignment="0" applyProtection="0"/>
    <xf numFmtId="0" fontId="113" fillId="0" borderId="14" applyNumberFormat="0" applyFill="0" applyAlignment="0" applyProtection="0"/>
    <xf numFmtId="0" fontId="8" fillId="0" borderId="0"/>
    <xf numFmtId="0" fontId="113" fillId="0" borderId="14" applyNumberFormat="0" applyFill="0" applyAlignment="0" applyProtection="0"/>
    <xf numFmtId="0" fontId="113" fillId="0" borderId="14" applyNumberFormat="0" applyFill="0" applyAlignment="0" applyProtection="0"/>
    <xf numFmtId="0" fontId="8" fillId="0" borderId="0"/>
    <xf numFmtId="0" fontId="32" fillId="0" borderId="0" applyNumberFormat="0" applyFill="0" applyBorder="0" applyAlignment="0" applyProtection="0"/>
    <xf numFmtId="0" fontId="113" fillId="0" borderId="0"/>
    <xf numFmtId="0" fontId="113" fillId="0" borderId="0"/>
    <xf numFmtId="0" fontId="113" fillId="0" borderId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" fillId="0" borderId="0"/>
    <xf numFmtId="0" fontId="113" fillId="0" borderId="0"/>
    <xf numFmtId="0" fontId="113" fillId="0" borderId="0"/>
    <xf numFmtId="0" fontId="113" fillId="0" borderId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" fillId="0" borderId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" fillId="0" borderId="0"/>
    <xf numFmtId="0" fontId="89" fillId="0" borderId="0" applyFill="0" applyAlignment="0" applyProtection="0">
      <protection locked="0"/>
    </xf>
    <xf numFmtId="0" fontId="89" fillId="0" borderId="1" applyFill="0" applyAlignment="0" applyProtection="0">
      <protection locked="0"/>
    </xf>
    <xf numFmtId="0" fontId="9" fillId="0" borderId="0" applyProtection="0"/>
    <xf numFmtId="274" fontId="63" fillId="0" borderId="0">
      <protection locked="0"/>
    </xf>
    <xf numFmtId="274" fontId="63" fillId="0" borderId="0">
      <protection locked="0"/>
    </xf>
    <xf numFmtId="274" fontId="63" fillId="0" borderId="0">
      <protection locked="0"/>
    </xf>
    <xf numFmtId="274" fontId="63" fillId="0" borderId="0">
      <protection locked="0"/>
    </xf>
    <xf numFmtId="274" fontId="63" fillId="0" borderId="0">
      <protection locked="0"/>
    </xf>
    <xf numFmtId="0" fontId="8" fillId="0" borderId="0"/>
    <xf numFmtId="208" fontId="63" fillId="0" borderId="0">
      <protection locked="0"/>
    </xf>
    <xf numFmtId="0" fontId="10" fillId="0" borderId="0" applyProtection="0"/>
    <xf numFmtId="274" fontId="63" fillId="0" borderId="0">
      <protection locked="0"/>
    </xf>
    <xf numFmtId="274" fontId="63" fillId="0" borderId="0">
      <protection locked="0"/>
    </xf>
    <xf numFmtId="274" fontId="63" fillId="0" borderId="0">
      <protection locked="0"/>
    </xf>
    <xf numFmtId="274" fontId="63" fillId="0" borderId="0">
      <protection locked="0"/>
    </xf>
    <xf numFmtId="0" fontId="8" fillId="0" borderId="0"/>
    <xf numFmtId="208" fontId="63" fillId="0" borderId="0">
      <protection locked="0"/>
    </xf>
    <xf numFmtId="0" fontId="114" fillId="0" borderId="15">
      <alignment horizontal="center"/>
    </xf>
    <xf numFmtId="0" fontId="114" fillId="0" borderId="0">
      <alignment horizontal="center"/>
    </xf>
    <xf numFmtId="221" fontId="71" fillId="0" borderId="0" applyFont="0" applyFill="0" applyBorder="0" applyAlignment="0" applyProtection="0"/>
    <xf numFmtId="0" fontId="33" fillId="14" borderId="2" applyNumberFormat="0" applyAlignment="0" applyProtection="0"/>
    <xf numFmtId="10" fontId="77" fillId="46" borderId="16" applyNumberFormat="0" applyBorder="0" applyAlignment="0" applyProtection="0"/>
    <xf numFmtId="0" fontId="77" fillId="43" borderId="0"/>
    <xf numFmtId="0" fontId="77" fillId="43" borderId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8" fillId="0" borderId="0"/>
    <xf numFmtId="10" fontId="77" fillId="44" borderId="16" applyNumberFormat="0" applyBorder="0" applyAlignment="0" applyProtection="0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8" fillId="0" borderId="0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4" borderId="2" applyNumberFormat="0" applyAlignment="0" applyProtection="0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115" fillId="15" borderId="2"/>
    <xf numFmtId="0" fontId="115" fillId="15" borderId="2"/>
    <xf numFmtId="0" fontId="115" fillId="15" borderId="2"/>
    <xf numFmtId="0" fontId="115" fillId="15" borderId="2" applyNumberFormat="0" applyAlignment="0" applyProtection="0"/>
    <xf numFmtId="0" fontId="115" fillId="15" borderId="2" applyNumberFormat="0" applyAlignment="0" applyProtection="0"/>
    <xf numFmtId="0" fontId="8" fillId="0" borderId="0"/>
    <xf numFmtId="0" fontId="115" fillId="15" borderId="2"/>
    <xf numFmtId="0" fontId="115" fillId="15" borderId="2" applyNumberFormat="0" applyAlignment="0" applyProtection="0"/>
    <xf numFmtId="270" fontId="71" fillId="47" borderId="0"/>
    <xf numFmtId="270" fontId="71" fillId="47" borderId="0"/>
    <xf numFmtId="270" fontId="71" fillId="47" borderId="0"/>
    <xf numFmtId="270" fontId="71" fillId="47" borderId="0"/>
    <xf numFmtId="270" fontId="71" fillId="47" borderId="0"/>
    <xf numFmtId="0" fontId="8" fillId="0" borderId="0"/>
    <xf numFmtId="270" fontId="71" fillId="48" borderId="0"/>
    <xf numFmtId="0" fontId="2" fillId="0" borderId="0"/>
    <xf numFmtId="0" fontId="8" fillId="0" borderId="0"/>
    <xf numFmtId="183" fontId="84" fillId="0" borderId="0" applyFill="0" applyBorder="0" applyAlignment="0"/>
    <xf numFmtId="199" fontId="84" fillId="0" borderId="0" applyFill="0" applyBorder="0" applyAlignment="0"/>
    <xf numFmtId="183" fontId="84" fillId="0" borderId="0" applyFill="0" applyBorder="0" applyAlignment="0"/>
    <xf numFmtId="248" fontId="84" fillId="0" borderId="0" applyFill="0" applyBorder="0" applyAlignment="0"/>
    <xf numFmtId="199" fontId="84" fillId="0" borderId="0" applyFill="0" applyBorder="0" applyAlignment="0"/>
    <xf numFmtId="0" fontId="34" fillId="0" borderId="17" applyNumberFormat="0" applyFill="0" applyAlignment="0" applyProtection="0"/>
    <xf numFmtId="0" fontId="116" fillId="0" borderId="17"/>
    <xf numFmtId="0" fontId="116" fillId="0" borderId="17"/>
    <xf numFmtId="0" fontId="116" fillId="0" borderId="17"/>
    <xf numFmtId="0" fontId="116" fillId="0" borderId="17" applyNumberFormat="0" applyFill="0" applyAlignment="0" applyProtection="0"/>
    <xf numFmtId="0" fontId="116" fillId="0" borderId="17" applyNumberFormat="0" applyFill="0" applyAlignment="0" applyProtection="0"/>
    <xf numFmtId="0" fontId="8" fillId="0" borderId="0"/>
    <xf numFmtId="0" fontId="116" fillId="0" borderId="17"/>
    <xf numFmtId="0" fontId="116" fillId="0" borderId="17"/>
    <xf numFmtId="0" fontId="116" fillId="0" borderId="17"/>
    <xf numFmtId="0" fontId="116" fillId="0" borderId="17"/>
    <xf numFmtId="0" fontId="116" fillId="0" borderId="17" applyNumberFormat="0" applyFill="0" applyAlignment="0" applyProtection="0"/>
    <xf numFmtId="0" fontId="116" fillId="0" borderId="17" applyNumberFormat="0" applyFill="0" applyAlignment="0" applyProtection="0"/>
    <xf numFmtId="0" fontId="8" fillId="0" borderId="0"/>
    <xf numFmtId="0" fontId="116" fillId="0" borderId="17" applyNumberFormat="0" applyFill="0" applyAlignment="0" applyProtection="0"/>
    <xf numFmtId="0" fontId="116" fillId="0" borderId="17" applyNumberFormat="0" applyFill="0" applyAlignment="0" applyProtection="0"/>
    <xf numFmtId="0" fontId="8" fillId="0" borderId="0"/>
    <xf numFmtId="270" fontId="71" fillId="49" borderId="0"/>
    <xf numFmtId="270" fontId="71" fillId="49" borderId="0"/>
    <xf numFmtId="270" fontId="71" fillId="49" borderId="0"/>
    <xf numFmtId="270" fontId="71" fillId="49" borderId="0"/>
    <xf numFmtId="270" fontId="71" fillId="49" borderId="0"/>
    <xf numFmtId="0" fontId="8" fillId="0" borderId="0"/>
    <xf numFmtId="270" fontId="71" fillId="50" borderId="0"/>
    <xf numFmtId="3" fontId="42" fillId="0" borderId="18" applyNumberFormat="0" applyAlignment="0">
      <alignment horizontal="center" vertical="center"/>
    </xf>
    <xf numFmtId="3" fontId="43" fillId="0" borderId="18" applyNumberFormat="0" applyAlignment="0">
      <alignment horizontal="center" vertical="center"/>
    </xf>
    <xf numFmtId="3" fontId="44" fillId="0" borderId="18" applyNumberFormat="0" applyAlignment="0">
      <alignment horizontal="center" vertical="center"/>
    </xf>
    <xf numFmtId="0" fontId="99" fillId="0" borderId="0" applyFill="0" applyBorder="0" applyAlignment="0" applyProtection="0"/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17" fillId="0" borderId="15"/>
    <xf numFmtId="0" fontId="89" fillId="0" borderId="19"/>
    <xf numFmtId="0" fontId="89" fillId="0" borderId="19"/>
    <xf numFmtId="0" fontId="89" fillId="0" borderId="19"/>
    <xf numFmtId="0" fontId="89" fillId="0" borderId="19"/>
    <xf numFmtId="0" fontId="8" fillId="0" borderId="0"/>
    <xf numFmtId="0" fontId="118" fillId="0" borderId="15"/>
    <xf numFmtId="256" fontId="8" fillId="0" borderId="0"/>
    <xf numFmtId="275" fontId="8" fillId="0" borderId="0"/>
    <xf numFmtId="249" fontId="119" fillId="0" borderId="0" applyFont="0" applyFill="0" applyBorder="0" applyAlignment="0" applyProtection="0"/>
    <xf numFmtId="250" fontId="119" fillId="0" borderId="0" applyFont="0" applyFill="0" applyBorder="0" applyAlignment="0" applyProtection="0"/>
    <xf numFmtId="251" fontId="8" fillId="0" borderId="0" applyFont="0" applyFill="0" applyBorder="0" applyAlignment="0" applyProtection="0"/>
    <xf numFmtId="231" fontId="8" fillId="0" borderId="0" applyFont="0" applyFill="0" applyBorder="0" applyAlignment="0" applyProtection="0"/>
    <xf numFmtId="0" fontId="45" fillId="0" borderId="0" applyNumberFormat="0" applyFont="0" applyFill="0" applyAlignment="0"/>
    <xf numFmtId="0" fontId="8" fillId="0" borderId="0"/>
    <xf numFmtId="0" fontId="8" fillId="0" borderId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/>
    <xf numFmtId="0" fontId="45" fillId="0" borderId="0" applyNumberFormat="0" applyFont="0" applyFill="0" applyAlignment="0"/>
    <xf numFmtId="0" fontId="8" fillId="0" borderId="0"/>
    <xf numFmtId="0" fontId="8" fillId="0" borderId="0" applyNumberFormat="0" applyFill="0" applyAlignment="0"/>
    <xf numFmtId="0" fontId="35" fillId="51" borderId="0" applyNumberFormat="0" applyBorder="0" applyAlignment="0" applyProtection="0"/>
    <xf numFmtId="0" fontId="120" fillId="52" borderId="0"/>
    <xf numFmtId="0" fontId="120" fillId="52" borderId="0"/>
    <xf numFmtId="0" fontId="120" fillId="52" borderId="0"/>
    <xf numFmtId="0" fontId="120" fillId="52" borderId="0" applyNumberFormat="0" applyBorder="0" applyAlignment="0" applyProtection="0"/>
    <xf numFmtId="0" fontId="120" fillId="52" borderId="0" applyNumberFormat="0" applyBorder="0" applyAlignment="0" applyProtection="0"/>
    <xf numFmtId="0" fontId="8" fillId="0" borderId="0"/>
    <xf numFmtId="0" fontId="120" fillId="52" borderId="0"/>
    <xf numFmtId="0" fontId="120" fillId="52" borderId="0"/>
    <xf numFmtId="0" fontId="120" fillId="52" borderId="0"/>
    <xf numFmtId="0" fontId="120" fillId="52" borderId="0" applyNumberFormat="0" applyBorder="0" applyAlignment="0" applyProtection="0"/>
    <xf numFmtId="0" fontId="120" fillId="52" borderId="0" applyNumberFormat="0" applyBorder="0" applyAlignment="0" applyProtection="0"/>
    <xf numFmtId="0" fontId="8" fillId="0" borderId="0"/>
    <xf numFmtId="0" fontId="120" fillId="51" borderId="0" applyNumberFormat="0" applyBorder="0" applyAlignment="0" applyProtection="0"/>
    <xf numFmtId="0" fontId="120" fillId="52" borderId="0" applyNumberFormat="0" applyBorder="0" applyAlignment="0" applyProtection="0"/>
    <xf numFmtId="0" fontId="8" fillId="0" borderId="0"/>
    <xf numFmtId="0" fontId="20" fillId="0" borderId="0"/>
    <xf numFmtId="37" fontId="121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/>
    <xf numFmtId="0" fontId="8" fillId="0" borderId="0" applyNumberFormat="0" applyFill="0" applyBorder="0" applyAlignment="0"/>
    <xf numFmtId="0" fontId="8" fillId="0" borderId="0"/>
    <xf numFmtId="0" fontId="122" fillId="0" borderId="16" applyNumberFormat="0" applyFont="0" applyFill="0" applyBorder="0" applyAlignment="0">
      <alignment horizontal="center"/>
    </xf>
    <xf numFmtId="175" fontId="46" fillId="0" borderId="0"/>
    <xf numFmtId="276" fontId="123" fillId="0" borderId="0"/>
    <xf numFmtId="276" fontId="123" fillId="0" borderId="0"/>
    <xf numFmtId="276" fontId="123" fillId="0" borderId="0"/>
    <xf numFmtId="276" fontId="123" fillId="0" borderId="0"/>
    <xf numFmtId="0" fontId="8" fillId="0" borderId="0"/>
    <xf numFmtId="285" fontId="124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7" fillId="0" borderId="0"/>
    <xf numFmtId="0" fontId="97" fillId="0" borderId="0"/>
    <xf numFmtId="0" fontId="97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7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52" fillId="0" borderId="0"/>
    <xf numFmtId="0" fontId="97" fillId="0" borderId="0"/>
    <xf numFmtId="0" fontId="36" fillId="0" borderId="0"/>
    <xf numFmtId="0" fontId="97" fillId="0" borderId="0"/>
    <xf numFmtId="0" fontId="97" fillId="0" borderId="0"/>
    <xf numFmtId="0" fontId="36" fillId="0" borderId="0"/>
    <xf numFmtId="0" fontId="97" fillId="0" borderId="0"/>
    <xf numFmtId="0" fontId="36" fillId="0" borderId="0"/>
    <xf numFmtId="0" fontId="97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6" fillId="0" borderId="0"/>
    <xf numFmtId="0" fontId="36" fillId="0" borderId="0"/>
    <xf numFmtId="0" fontId="97" fillId="0" borderId="0"/>
    <xf numFmtId="0" fontId="97" fillId="0" borderId="0"/>
    <xf numFmtId="0" fontId="97" fillId="0" borderId="0"/>
    <xf numFmtId="0" fontId="36" fillId="0" borderId="0"/>
    <xf numFmtId="0" fontId="36" fillId="0" borderId="0"/>
    <xf numFmtId="0" fontId="97" fillId="0" borderId="0"/>
    <xf numFmtId="0" fontId="36" fillId="0" borderId="0"/>
    <xf numFmtId="0" fontId="97" fillId="0" borderId="0"/>
    <xf numFmtId="0" fontId="36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8" fillId="0" borderId="0"/>
    <xf numFmtId="0" fontId="125" fillId="0" borderId="0"/>
    <xf numFmtId="0" fontId="8" fillId="0" borderId="0"/>
    <xf numFmtId="0" fontId="76" fillId="0" borderId="0" applyProtection="0"/>
    <xf numFmtId="0" fontId="8" fillId="0" borderId="0"/>
    <xf numFmtId="0" fontId="8" fillId="0" borderId="0"/>
    <xf numFmtId="0" fontId="16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67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25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7" fillId="0" borderId="0"/>
    <xf numFmtId="0" fontId="2" fillId="0" borderId="0"/>
    <xf numFmtId="0" fontId="2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2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2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97" fillId="0" borderId="0"/>
    <xf numFmtId="0" fontId="97" fillId="0" borderId="0"/>
    <xf numFmtId="0" fontId="24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126" fillId="0" borderId="0"/>
    <xf numFmtId="0" fontId="1" fillId="0" borderId="0"/>
    <xf numFmtId="0" fontId="11" fillId="0" borderId="0"/>
    <xf numFmtId="0" fontId="2" fillId="0" borderId="0"/>
    <xf numFmtId="0" fontId="61" fillId="0" borderId="0"/>
    <xf numFmtId="0" fontId="24" fillId="53" borderId="20" applyNumberFormat="0" applyFont="0" applyAlignment="0" applyProtection="0"/>
    <xf numFmtId="0" fontId="8" fillId="54" borderId="20"/>
    <xf numFmtId="0" fontId="8" fillId="54" borderId="20"/>
    <xf numFmtId="0" fontId="8" fillId="54" borderId="20"/>
    <xf numFmtId="0" fontId="8" fillId="54" borderId="20" applyNumberFormat="0" applyAlignment="0" applyProtection="0"/>
    <xf numFmtId="0" fontId="8" fillId="54" borderId="20" applyNumberFormat="0" applyAlignment="0" applyProtection="0"/>
    <xf numFmtId="0" fontId="8" fillId="0" borderId="0"/>
    <xf numFmtId="0" fontId="8" fillId="54" borderId="20"/>
    <xf numFmtId="0" fontId="8" fillId="54" borderId="20"/>
    <xf numFmtId="0" fontId="8" fillId="54" borderId="20"/>
    <xf numFmtId="0" fontId="8" fillId="54" borderId="20"/>
    <xf numFmtId="0" fontId="8" fillId="54" borderId="20" applyNumberFormat="0" applyAlignment="0" applyProtection="0"/>
    <xf numFmtId="0" fontId="8" fillId="54" borderId="20" applyNumberFormat="0" applyAlignment="0" applyProtection="0"/>
    <xf numFmtId="0" fontId="8" fillId="0" borderId="0"/>
    <xf numFmtId="0" fontId="36" fillId="53" borderId="20" applyNumberFormat="0" applyFont="0" applyAlignment="0" applyProtection="0"/>
    <xf numFmtId="0" fontId="8" fillId="54" borderId="20" applyNumberFormat="0" applyAlignment="0" applyProtection="0"/>
    <xf numFmtId="0" fontId="8" fillId="0" borderId="0"/>
    <xf numFmtId="206" fontId="127" fillId="0" borderId="0" applyFont="0" applyFill="0" applyBorder="0" applyProtection="0">
      <alignment vertical="top" wrapText="1"/>
    </xf>
    <xf numFmtId="198" fontId="128" fillId="0" borderId="0" applyFont="0" applyFill="0" applyBorder="0" applyAlignment="0" applyProtection="0"/>
    <xf numFmtId="197" fontId="12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" fillId="0" borderId="0"/>
    <xf numFmtId="0" fontId="20" fillId="0" borderId="0"/>
    <xf numFmtId="0" fontId="37" fillId="40" borderId="21" applyNumberFormat="0" applyAlignment="0" applyProtection="0"/>
    <xf numFmtId="0" fontId="129" fillId="3" borderId="21"/>
    <xf numFmtId="0" fontId="129" fillId="3" borderId="21"/>
    <xf numFmtId="0" fontId="129" fillId="3" borderId="21"/>
    <xf numFmtId="0" fontId="129" fillId="3" borderId="21" applyNumberFormat="0" applyAlignment="0" applyProtection="0"/>
    <xf numFmtId="0" fontId="129" fillId="3" borderId="21" applyNumberFormat="0" applyAlignment="0" applyProtection="0"/>
    <xf numFmtId="0" fontId="8" fillId="0" borderId="0"/>
    <xf numFmtId="0" fontId="129" fillId="3" borderId="21"/>
    <xf numFmtId="0" fontId="129" fillId="3" borderId="21"/>
    <xf numFmtId="0" fontId="129" fillId="3" borderId="21"/>
    <xf numFmtId="0" fontId="129" fillId="3" borderId="21"/>
    <xf numFmtId="0" fontId="129" fillId="3" borderId="21" applyNumberFormat="0" applyAlignment="0" applyProtection="0"/>
    <xf numFmtId="0" fontId="129" fillId="3" borderId="21" applyNumberFormat="0" applyAlignment="0" applyProtection="0"/>
    <xf numFmtId="0" fontId="8" fillId="0" borderId="0"/>
    <xf numFmtId="0" fontId="129" fillId="40" borderId="21" applyNumberFormat="0" applyAlignment="0" applyProtection="0"/>
    <xf numFmtId="0" fontId="129" fillId="3" borderId="21" applyNumberFormat="0" applyAlignment="0" applyProtection="0"/>
    <xf numFmtId="0" fontId="8" fillId="0" borderId="0"/>
    <xf numFmtId="14" fontId="79" fillId="0" borderId="0">
      <alignment horizontal="center" wrapText="1"/>
      <protection locked="0"/>
    </xf>
    <xf numFmtId="14" fontId="79" fillId="0" borderId="0">
      <alignment horizontal="center" wrapText="1"/>
      <protection locked="0"/>
    </xf>
    <xf numFmtId="14" fontId="79" fillId="0" borderId="0">
      <alignment horizontal="center" wrapText="1"/>
      <protection locked="0"/>
    </xf>
    <xf numFmtId="14" fontId="79" fillId="0" borderId="0">
      <alignment horizontal="center" wrapText="1"/>
      <protection locked="0"/>
    </xf>
    <xf numFmtId="14" fontId="79" fillId="0" borderId="0">
      <alignment horizontal="center" wrapText="1"/>
      <protection locked="0"/>
    </xf>
    <xf numFmtId="0" fontId="8" fillId="0" borderId="0"/>
    <xf numFmtId="14" fontId="79" fillId="0" borderId="0">
      <alignment horizontal="center" wrapText="1"/>
      <protection locked="0"/>
    </xf>
    <xf numFmtId="237" fontId="8" fillId="0" borderId="0" applyFont="0" applyFill="0" applyBorder="0" applyAlignment="0" applyProtection="0"/>
    <xf numFmtId="238" fontId="8" fillId="0" borderId="0" applyFont="0" applyFill="0" applyBorder="0" applyAlignment="0" applyProtection="0"/>
    <xf numFmtId="247" fontId="8" fillId="0" borderId="0" applyFont="0" applyFill="0" applyBorder="0" applyAlignment="0" applyProtection="0"/>
    <xf numFmtId="244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/>
    <xf numFmtId="1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1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226" fontId="8" fillId="0" borderId="0" applyFont="0" applyFill="0" applyBorder="0" applyAlignment="0" applyProtection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130" fillId="0" borderId="0" applyFill="0" applyBorder="0" applyAlignment="0" applyProtection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36" fillId="0" borderId="0" applyFont="0" applyFill="0" applyBorder="0" applyAlignment="0" applyProtection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8" fillId="0" borderId="0"/>
    <xf numFmtId="9" fontId="70" fillId="0" borderId="22" applyNumberFormat="0" applyBorder="0"/>
    <xf numFmtId="0" fontId="70" fillId="0" borderId="0"/>
    <xf numFmtId="0" fontId="70" fillId="0" borderId="0"/>
    <xf numFmtId="0" fontId="70" fillId="0" borderId="0" applyNumberFormat="0" applyBorder="0"/>
    <xf numFmtId="0" fontId="70" fillId="0" borderId="0" applyNumberFormat="0" applyBorder="0"/>
    <xf numFmtId="0" fontId="8" fillId="0" borderId="0"/>
    <xf numFmtId="9" fontId="70" fillId="0" borderId="22" applyNumberFormat="0" applyBorder="0"/>
    <xf numFmtId="183" fontId="84" fillId="0" borderId="0" applyFill="0" applyBorder="0" applyAlignment="0"/>
    <xf numFmtId="199" fontId="84" fillId="0" borderId="0" applyFill="0" applyBorder="0" applyAlignment="0"/>
    <xf numFmtId="183" fontId="84" fillId="0" borderId="0" applyFill="0" applyBorder="0" applyAlignment="0"/>
    <xf numFmtId="248" fontId="84" fillId="0" borderId="0" applyFill="0" applyBorder="0" applyAlignment="0"/>
    <xf numFmtId="199" fontId="84" fillId="0" borderId="0" applyFill="0" applyBorder="0" applyAlignment="0"/>
    <xf numFmtId="0" fontId="131" fillId="0" borderId="0"/>
    <xf numFmtId="253" fontId="20" fillId="0" borderId="0"/>
    <xf numFmtId="253" fontId="20" fillId="0" borderId="0"/>
    <xf numFmtId="253" fontId="20" fillId="0" borderId="0"/>
    <xf numFmtId="253" fontId="20" fillId="0" borderId="0"/>
    <xf numFmtId="0" fontId="8" fillId="0" borderId="0"/>
    <xf numFmtId="5" fontId="132" fillId="0" borderId="0"/>
    <xf numFmtId="0" fontId="70" fillId="0" borderId="0" applyNumberFormat="0" applyFont="0" applyFill="0" applyBorder="0" applyAlignment="0" applyProtection="0">
      <alignment horizontal="left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70" fillId="0" borderId="0" applyNumberFormat="0" applyFont="0" applyFill="0" applyBorder="0" applyAlignment="0" applyProtection="0">
      <alignment horizontal="left"/>
    </xf>
    <xf numFmtId="0" fontId="133" fillId="0" borderId="15">
      <alignment horizontal="center"/>
    </xf>
    <xf numFmtId="0" fontId="134" fillId="55" borderId="0" applyNumberFormat="0" applyFont="0" applyBorder="0" applyAlignment="0">
      <alignment horizontal="center"/>
    </xf>
    <xf numFmtId="0" fontId="135" fillId="0" borderId="0" applyNumberFormat="0" applyFill="0" applyBorder="0" applyAlignment="0" applyProtection="0"/>
    <xf numFmtId="14" fontId="136" fillId="0" borderId="0" applyNumberFormat="0" applyFill="0" applyBorder="0" applyAlignment="0" applyProtection="0">
      <alignment horizontal="left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286" fontId="8" fillId="0" borderId="0" applyNumberFormat="0" applyFill="0" applyBorder="0" applyAlignment="0" applyProtection="0">
      <alignment horizontal="left"/>
    </xf>
    <xf numFmtId="221" fontId="71" fillId="0" borderId="0" applyFont="0" applyFill="0" applyBorder="0" applyAlignment="0" applyProtection="0"/>
    <xf numFmtId="0" fontId="134" fillId="1" borderId="10" applyNumberFormat="0" applyFont="0" applyAlignment="0">
      <alignment horizontal="center"/>
    </xf>
    <xf numFmtId="0" fontId="137" fillId="0" borderId="0" applyNumberFormat="0" applyFill="0" applyBorder="0" applyAlignment="0">
      <alignment horizontal="center"/>
    </xf>
    <xf numFmtId="0" fontId="159" fillId="0" borderId="0"/>
    <xf numFmtId="0" fontId="11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9" fillId="0" borderId="0" applyNumberFormat="0" applyFill="0" applyBorder="0" applyAlignment="0" applyProtection="0"/>
    <xf numFmtId="205" fontId="71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197" fontId="71" fillId="0" borderId="0" applyFont="0" applyFill="0" applyBorder="0" applyAlignment="0" applyProtection="0"/>
    <xf numFmtId="221" fontId="71" fillId="0" borderId="0" applyFont="0" applyFill="0" applyBorder="0" applyAlignment="0" applyProtection="0"/>
    <xf numFmtId="217" fontId="71" fillId="0" borderId="0" applyFont="0" applyFill="0" applyBorder="0" applyAlignment="0" applyProtection="0"/>
    <xf numFmtId="205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7" fontId="71" fillId="0" borderId="0" applyFont="0" applyFill="0" applyBorder="0" applyAlignment="0" applyProtection="0"/>
    <xf numFmtId="219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5" fontId="71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197" fontId="71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21" fontId="71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42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63" fillId="0" borderId="0" applyFont="0" applyFill="0" applyBorder="0" applyAlignment="0" applyProtection="0"/>
    <xf numFmtId="210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5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216" fontId="71" fillId="0" borderId="0" applyFont="0" applyFill="0" applyBorder="0" applyAlignment="0" applyProtection="0"/>
    <xf numFmtId="202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217" fontId="71" fillId="0" borderId="0" applyFont="0" applyFill="0" applyBorder="0" applyAlignment="0" applyProtection="0"/>
    <xf numFmtId="219" fontId="71" fillId="0" borderId="0" applyFont="0" applyFill="0" applyBorder="0" applyAlignment="0" applyProtection="0"/>
    <xf numFmtId="218" fontId="71" fillId="0" borderId="0" applyFont="0" applyFill="0" applyBorder="0" applyAlignment="0" applyProtection="0"/>
    <xf numFmtId="14" fontId="138" fillId="0" borderId="0"/>
    <xf numFmtId="0" fontId="117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" fillId="0" borderId="0"/>
    <xf numFmtId="0" fontId="118" fillId="0" borderId="0"/>
    <xf numFmtId="40" fontId="139" fillId="0" borderId="0" applyBorder="0">
      <alignment horizontal="right"/>
    </xf>
    <xf numFmtId="258" fontId="140" fillId="0" borderId="0">
      <alignment horizontal="right"/>
    </xf>
    <xf numFmtId="258" fontId="140" fillId="0" borderId="0">
      <alignment horizontal="right"/>
    </xf>
    <xf numFmtId="258" fontId="140" fillId="0" borderId="0" applyBorder="0">
      <alignment horizontal="right"/>
    </xf>
    <xf numFmtId="258" fontId="140" fillId="0" borderId="0" applyBorder="0">
      <alignment horizontal="right"/>
    </xf>
    <xf numFmtId="0" fontId="8" fillId="0" borderId="0"/>
    <xf numFmtId="40" fontId="141" fillId="0" borderId="0" applyBorder="0">
      <alignment horizontal="right"/>
    </xf>
    <xf numFmtId="0" fontId="142" fillId="0" borderId="0"/>
    <xf numFmtId="189" fontId="59" fillId="0" borderId="23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0" fontId="8" fillId="0" borderId="0"/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143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277" fontId="59" fillId="0" borderId="24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254" fontId="144" fillId="0" borderId="24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189" fontId="59" fillId="0" borderId="23">
      <alignment horizontal="right" vertical="center"/>
    </xf>
    <xf numFmtId="49" fontId="60" fillId="0" borderId="0" applyFill="0" applyBorder="0" applyAlignment="0"/>
    <xf numFmtId="252" fontId="8" fillId="0" borderId="0" applyFill="0" applyBorder="0" applyAlignment="0"/>
    <xf numFmtId="191" fontId="8" fillId="0" borderId="0" applyFill="0" applyBorder="0" applyAlignment="0"/>
    <xf numFmtId="190" fontId="59" fillId="0" borderId="23">
      <alignment horizontal="center"/>
    </xf>
    <xf numFmtId="278" fontId="59" fillId="0" borderId="24">
      <alignment horizontal="center"/>
    </xf>
    <xf numFmtId="278" fontId="59" fillId="0" borderId="24">
      <alignment horizontal="center"/>
    </xf>
    <xf numFmtId="278" fontId="59" fillId="0" borderId="24">
      <alignment horizontal="center"/>
    </xf>
    <xf numFmtId="278" fontId="59" fillId="0" borderId="24">
      <alignment horizontal="center"/>
    </xf>
    <xf numFmtId="0" fontId="8" fillId="0" borderId="0"/>
    <xf numFmtId="190" fontId="59" fillId="0" borderId="23">
      <alignment horizontal="center"/>
    </xf>
    <xf numFmtId="0" fontId="145" fillId="0" borderId="0">
      <alignment vertical="center" wrapText="1"/>
      <protection locked="0"/>
    </xf>
    <xf numFmtId="0" fontId="145" fillId="0" borderId="0">
      <alignment vertical="center" wrapText="1"/>
      <protection locked="0"/>
    </xf>
    <xf numFmtId="0" fontId="145" fillId="0" borderId="0">
      <alignment vertical="center" wrapText="1"/>
      <protection locked="0"/>
    </xf>
    <xf numFmtId="0" fontId="145" fillId="0" borderId="0">
      <alignment vertical="center" wrapText="1"/>
      <protection locked="0"/>
    </xf>
    <xf numFmtId="0" fontId="145" fillId="0" borderId="0">
      <alignment vertical="center" wrapText="1"/>
      <protection locked="0"/>
    </xf>
    <xf numFmtId="0" fontId="8" fillId="0" borderId="0"/>
    <xf numFmtId="0" fontId="89" fillId="0" borderId="0" applyNumberFormat="0" applyFill="0" applyBorder="0" applyAlignment="0" applyProtection="0"/>
    <xf numFmtId="4" fontId="146" fillId="0" borderId="0"/>
    <xf numFmtId="4" fontId="146" fillId="0" borderId="0"/>
    <xf numFmtId="4" fontId="146" fillId="0" borderId="0"/>
    <xf numFmtId="4" fontId="146" fillId="0" borderId="0"/>
    <xf numFmtId="4" fontId="146" fillId="0" borderId="0"/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/>
    <xf numFmtId="0" fontId="147" fillId="0" borderId="0" applyFont="0">
      <alignment horizontal="centerContinuous"/>
    </xf>
    <xf numFmtId="0" fontId="17" fillId="0" borderId="0">
      <alignment horizontal="center" vertical="top"/>
    </xf>
    <xf numFmtId="0" fontId="38" fillId="0" borderId="0" applyNumberFormat="0" applyFill="0" applyBorder="0" applyAlignment="0" applyProtection="0"/>
    <xf numFmtId="0" fontId="148" fillId="0" borderId="0"/>
    <xf numFmtId="0" fontId="148" fillId="0" borderId="0"/>
    <xf numFmtId="0" fontId="148" fillId="0" borderId="0"/>
    <xf numFmtId="0" fontId="148" fillId="0" borderId="0" applyNumberFormat="0" applyFill="0" applyBorder="0" applyAlignment="0" applyProtection="0"/>
    <xf numFmtId="0" fontId="8" fillId="0" borderId="0"/>
    <xf numFmtId="0" fontId="8" fillId="0" borderId="0"/>
    <xf numFmtId="0" fontId="148" fillId="0" borderId="0"/>
    <xf numFmtId="0" fontId="148" fillId="0" borderId="0"/>
    <xf numFmtId="0" fontId="148" fillId="0" borderId="0"/>
    <xf numFmtId="0" fontId="148" fillId="0" borderId="0" applyNumberFormat="0" applyFill="0" applyBorder="0" applyAlignment="0" applyProtection="0"/>
    <xf numFmtId="0" fontId="8" fillId="0" borderId="0"/>
    <xf numFmtId="0" fontId="8" fillId="0" borderId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8" fillId="0" borderId="0"/>
    <xf numFmtId="3" fontId="47" fillId="0" borderId="18" applyNumberFormat="0" applyAlignment="0">
      <alignment horizontal="center" vertical="center"/>
    </xf>
    <xf numFmtId="3" fontId="48" fillId="0" borderId="7" applyNumberFormat="0" applyAlignment="0">
      <alignment horizontal="left" wrapText="1"/>
    </xf>
    <xf numFmtId="3" fontId="47" fillId="0" borderId="18" applyNumberFormat="0" applyAlignment="0">
      <alignment horizontal="center" vertical="center"/>
    </xf>
    <xf numFmtId="0" fontId="8" fillId="0" borderId="25" applyNumberFormat="0" applyFont="0" applyFill="0" applyAlignment="0" applyProtection="0"/>
    <xf numFmtId="0" fontId="149" fillId="0" borderId="26"/>
    <xf numFmtId="0" fontId="149" fillId="0" borderId="26"/>
    <xf numFmtId="0" fontId="8" fillId="0" borderId="27"/>
    <xf numFmtId="0" fontId="8" fillId="0" borderId="27"/>
    <xf numFmtId="0" fontId="8" fillId="0" borderId="27"/>
    <xf numFmtId="0" fontId="8" fillId="0" borderId="27" applyNumberFormat="0" applyFill="0" applyAlignment="0" applyProtection="0"/>
    <xf numFmtId="0" fontId="8" fillId="0" borderId="0"/>
    <xf numFmtId="0" fontId="8" fillId="0" borderId="0"/>
    <xf numFmtId="0" fontId="8" fillId="0" borderId="27"/>
    <xf numFmtId="0" fontId="149" fillId="0" borderId="26"/>
    <xf numFmtId="0" fontId="149" fillId="0" borderId="26" applyNumberFormat="0" applyFill="0" applyAlignment="0" applyProtection="0"/>
    <xf numFmtId="0" fontId="8" fillId="0" borderId="0"/>
    <xf numFmtId="0" fontId="8" fillId="0" borderId="0"/>
    <xf numFmtId="0" fontId="8" fillId="0" borderId="27" applyNumberFormat="0" applyFill="0" applyAlignment="0" applyProtection="0"/>
    <xf numFmtId="0" fontId="149" fillId="0" borderId="26"/>
    <xf numFmtId="0" fontId="149" fillId="0" borderId="26"/>
    <xf numFmtId="0" fontId="149" fillId="0" borderId="26"/>
    <xf numFmtId="0" fontId="149" fillId="0" borderId="26" applyNumberFormat="0" applyFill="0" applyAlignment="0" applyProtection="0"/>
    <xf numFmtId="0" fontId="8" fillId="0" borderId="0"/>
    <xf numFmtId="0" fontId="8" fillId="0" borderId="0"/>
    <xf numFmtId="0" fontId="149" fillId="0" borderId="26" applyNumberFormat="0" applyFill="0" applyAlignment="0" applyProtection="0"/>
    <xf numFmtId="0" fontId="8" fillId="0" borderId="0"/>
    <xf numFmtId="0" fontId="8" fillId="0" borderId="0"/>
    <xf numFmtId="191" fontId="59" fillId="0" borderId="0"/>
    <xf numFmtId="279" fontId="150" fillId="0" borderId="0"/>
    <xf numFmtId="279" fontId="150" fillId="0" borderId="0"/>
    <xf numFmtId="279" fontId="150" fillId="0" borderId="0"/>
    <xf numFmtId="0" fontId="8" fillId="0" borderId="0"/>
    <xf numFmtId="0" fontId="8" fillId="0" borderId="0"/>
    <xf numFmtId="284" fontId="150" fillId="0" borderId="0"/>
    <xf numFmtId="192" fontId="59" fillId="0" borderId="16"/>
    <xf numFmtId="280" fontId="59" fillId="0" borderId="28"/>
    <xf numFmtId="280" fontId="59" fillId="0" borderId="28"/>
    <xf numFmtId="280" fontId="59" fillId="0" borderId="28"/>
    <xf numFmtId="0" fontId="8" fillId="0" borderId="0"/>
    <xf numFmtId="0" fontId="8" fillId="0" borderId="0"/>
    <xf numFmtId="192" fontId="59" fillId="0" borderId="16"/>
    <xf numFmtId="0" fontId="151" fillId="56" borderId="16">
      <alignment horizontal="left" vertical="center"/>
    </xf>
    <xf numFmtId="5" fontId="44" fillId="0" borderId="5">
      <alignment horizontal="left" vertical="top"/>
    </xf>
    <xf numFmtId="5" fontId="119" fillId="0" borderId="18">
      <alignment horizontal="left" vertical="top"/>
    </xf>
    <xf numFmtId="0" fontId="152" fillId="0" borderId="18">
      <alignment horizontal="left" vertical="center"/>
    </xf>
    <xf numFmtId="181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53" fillId="0" borderId="0"/>
    <xf numFmtId="0" fontId="153" fillId="0" borderId="0"/>
    <xf numFmtId="0" fontId="153" fillId="0" borderId="0"/>
    <xf numFmtId="0" fontId="153" fillId="0" borderId="0" applyNumberFormat="0" applyFill="0" applyBorder="0" applyAlignment="0" applyProtection="0"/>
    <xf numFmtId="0" fontId="8" fillId="0" borderId="0"/>
    <xf numFmtId="0" fontId="8" fillId="0" borderId="0"/>
    <xf numFmtId="0" fontId="153" fillId="0" borderId="0"/>
    <xf numFmtId="0" fontId="153" fillId="0" borderId="0"/>
    <xf numFmtId="0" fontId="153" fillId="0" borderId="0"/>
    <xf numFmtId="0" fontId="153" fillId="0" borderId="0" applyNumberFormat="0" applyFill="0" applyBorder="0" applyAlignment="0" applyProtection="0"/>
    <xf numFmtId="0" fontId="8" fillId="0" borderId="0"/>
    <xf numFmtId="0" fontId="8" fillId="0" borderId="0"/>
    <xf numFmtId="0" fontId="153" fillId="0" borderId="0" applyNumberFormat="0" applyFill="0" applyBorder="0" applyAlignment="0" applyProtection="0"/>
    <xf numFmtId="0" fontId="8" fillId="0" borderId="0"/>
    <xf numFmtId="0" fontId="8" fillId="0" borderId="0"/>
    <xf numFmtId="179" fontId="8" fillId="0" borderId="0" applyFont="0" applyFill="0" applyBorder="0" applyAlignment="0" applyProtection="0"/>
    <xf numFmtId="232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36" fontId="8" fillId="0" borderId="0" applyFont="0" applyFill="0" applyBorder="0" applyAlignment="0" applyProtection="0"/>
    <xf numFmtId="240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3" fontId="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54" fillId="0" borderId="0">
      <alignment vertical="center"/>
    </xf>
    <xf numFmtId="0" fontId="154" fillId="0" borderId="0">
      <alignment vertical="center"/>
    </xf>
    <xf numFmtId="0" fontId="154" fillId="0" borderId="0">
      <alignment vertical="center"/>
    </xf>
    <xf numFmtId="0" fontId="154" fillId="0" borderId="0">
      <alignment vertical="center"/>
    </xf>
    <xf numFmtId="0" fontId="8" fillId="0" borderId="0"/>
    <xf numFmtId="0" fontId="8" fillId="0" borderId="0"/>
    <xf numFmtId="0" fontId="155" fillId="0" borderId="0">
      <alignment vertical="center"/>
    </xf>
    <xf numFmtId="261" fontId="8" fillId="0" borderId="0"/>
    <xf numFmtId="281" fontId="8" fillId="0" borderId="0"/>
    <xf numFmtId="0" fontId="15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9" fillId="0" borderId="0">
      <alignment vertical="center"/>
    </xf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282" fontId="8" fillId="0" borderId="0"/>
    <xf numFmtId="283" fontId="8" fillId="0" borderId="0"/>
    <xf numFmtId="0" fontId="8" fillId="0" borderId="0"/>
    <xf numFmtId="0" fontId="8" fillId="0" borderId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8" fillId="0" borderId="0"/>
    <xf numFmtId="0" fontId="45" fillId="0" borderId="0"/>
    <xf numFmtId="269" fontId="8" fillId="0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157" fillId="0" borderId="0"/>
    <xf numFmtId="268" fontId="8" fillId="0" borderId="0"/>
    <xf numFmtId="267" fontId="8" fillId="0" borderId="0"/>
    <xf numFmtId="0" fontId="45" fillId="0" borderId="0"/>
    <xf numFmtId="176" fontId="5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2" fillId="0" borderId="0" applyFont="0" applyFill="0" applyBorder="0" applyAlignment="0" applyProtection="0"/>
    <xf numFmtId="281" fontId="8" fillId="0" borderId="0"/>
    <xf numFmtId="261" fontId="8" fillId="0" borderId="0"/>
    <xf numFmtId="0" fontId="19" fillId="0" borderId="0"/>
  </cellStyleXfs>
  <cellXfs count="624">
    <xf numFmtId="0" fontId="0" fillId="0" borderId="0" xfId="0"/>
    <xf numFmtId="0" fontId="16" fillId="57" borderId="0" xfId="2206" applyFont="1" applyFill="1"/>
    <xf numFmtId="0" fontId="8" fillId="0" borderId="0" xfId="2206"/>
    <xf numFmtId="0" fontId="8" fillId="57" borderId="0" xfId="2206" applyFill="1"/>
    <xf numFmtId="0" fontId="8" fillId="58" borderId="29" xfId="2206" applyFill="1" applyBorder="1"/>
    <xf numFmtId="0" fontId="17" fillId="59" borderId="30" xfId="2206" applyFont="1" applyFill="1" applyBorder="1" applyAlignment="1">
      <alignment horizontal="center"/>
    </xf>
    <xf numFmtId="0" fontId="18" fillId="60" borderId="31" xfId="2206" applyFont="1" applyFill="1" applyBorder="1" applyAlignment="1">
      <alignment horizontal="center"/>
    </xf>
    <xf numFmtId="0" fontId="17" fillId="59" borderId="31" xfId="2206" applyFont="1" applyFill="1" applyBorder="1" applyAlignment="1">
      <alignment horizontal="center"/>
    </xf>
    <xf numFmtId="0" fontId="17" fillId="59" borderId="32" xfId="2206" applyFont="1" applyFill="1" applyBorder="1" applyAlignment="1">
      <alignment horizontal="center"/>
    </xf>
    <xf numFmtId="0" fontId="8" fillId="58" borderId="5" xfId="2206" applyFill="1" applyBorder="1"/>
    <xf numFmtId="0" fontId="8" fillId="58" borderId="33" xfId="2206" applyFill="1" applyBorder="1"/>
    <xf numFmtId="0" fontId="23" fillId="0" borderId="0" xfId="0" applyFont="1" applyAlignment="1">
      <alignment vertical="center"/>
    </xf>
    <xf numFmtId="0" fontId="54" fillId="0" borderId="16" xfId="0" applyFont="1" applyBorder="1" applyAlignment="1">
      <alignment horizontal="center" vertical="center" wrapText="1"/>
    </xf>
    <xf numFmtId="0" fontId="23" fillId="0" borderId="0" xfId="1714" applyFont="1"/>
    <xf numFmtId="0" fontId="22" fillId="0" borderId="0" xfId="1705" applyFont="1" applyAlignment="1">
      <alignment horizontal="center" vertical="center"/>
    </xf>
    <xf numFmtId="0" fontId="160" fillId="0" borderId="0" xfId="0" applyFont="1" applyAlignment="1">
      <alignment vertical="center"/>
    </xf>
    <xf numFmtId="0" fontId="161" fillId="0" borderId="0" xfId="1705" applyFont="1" applyAlignment="1">
      <alignment vertical="center"/>
    </xf>
    <xf numFmtId="0" fontId="55" fillId="0" borderId="16" xfId="0" applyFont="1" applyBorder="1" applyAlignment="1">
      <alignment horizontal="center" vertical="center" wrapText="1"/>
    </xf>
    <xf numFmtId="0" fontId="160" fillId="0" borderId="16" xfId="0" applyFont="1" applyBorder="1" applyAlignment="1">
      <alignment horizontal="center" vertical="center"/>
    </xf>
    <xf numFmtId="3" fontId="55" fillId="0" borderId="16" xfId="0" applyNumberFormat="1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 wrapText="1"/>
    </xf>
    <xf numFmtId="0" fontId="160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/>
    </xf>
    <xf numFmtId="0" fontId="161" fillId="0" borderId="0" xfId="0" applyFont="1" applyAlignment="1">
      <alignment vertical="center"/>
    </xf>
    <xf numFmtId="0" fontId="161" fillId="0" borderId="16" xfId="0" applyFont="1" applyBorder="1" applyAlignment="1">
      <alignment horizontal="center" vertical="center" wrapText="1"/>
    </xf>
    <xf numFmtId="0" fontId="161" fillId="44" borderId="16" xfId="0" applyNumberFormat="1" applyFont="1" applyFill="1" applyBorder="1" applyAlignment="1">
      <alignment horizontal="center" vertical="center" wrapText="1"/>
    </xf>
    <xf numFmtId="0" fontId="164" fillId="0" borderId="16" xfId="0" applyNumberFormat="1" applyFont="1" applyBorder="1" applyAlignment="1">
      <alignment horizontal="left" vertical="center"/>
    </xf>
    <xf numFmtId="0" fontId="161" fillId="0" borderId="16" xfId="0" applyNumberFormat="1" applyFont="1" applyBorder="1" applyAlignment="1">
      <alignment horizontal="center" vertical="center"/>
    </xf>
    <xf numFmtId="3" fontId="161" fillId="0" borderId="16" xfId="0" applyNumberFormat="1" applyFont="1" applyBorder="1" applyAlignment="1">
      <alignment horizontal="center" vertical="center" wrapText="1"/>
    </xf>
    <xf numFmtId="3" fontId="161" fillId="0" borderId="0" xfId="0" applyNumberFormat="1" applyFont="1" applyAlignment="1">
      <alignment vertical="center"/>
    </xf>
    <xf numFmtId="0" fontId="161" fillId="0" borderId="16" xfId="0" applyNumberFormat="1" applyFont="1" applyBorder="1" applyAlignment="1">
      <alignment horizontal="left"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161" fillId="44" borderId="16" xfId="1614" applyNumberFormat="1" applyFont="1" applyFill="1" applyBorder="1" applyAlignment="1">
      <alignment horizontal="center" vertical="center"/>
    </xf>
    <xf numFmtId="0" fontId="164" fillId="44" borderId="16" xfId="0" applyFont="1" applyFill="1" applyBorder="1" applyAlignment="1">
      <alignment horizontal="center" vertical="center" wrapText="1"/>
    </xf>
    <xf numFmtId="0" fontId="164" fillId="44" borderId="16" xfId="0" applyNumberFormat="1" applyFont="1" applyFill="1" applyBorder="1" applyAlignment="1">
      <alignment vertical="center"/>
    </xf>
    <xf numFmtId="0" fontId="164" fillId="44" borderId="16" xfId="0" applyFont="1" applyFill="1" applyBorder="1" applyAlignment="1">
      <alignment horizontal="center" vertical="center"/>
    </xf>
    <xf numFmtId="0" fontId="161" fillId="44" borderId="16" xfId="0" applyNumberFormat="1" applyFont="1" applyFill="1" applyBorder="1" applyAlignment="1">
      <alignment vertical="center"/>
    </xf>
    <xf numFmtId="166" fontId="161" fillId="44" borderId="16" xfId="1614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3" fontId="161" fillId="0" borderId="16" xfId="0" applyNumberFormat="1" applyFont="1" applyBorder="1" applyAlignment="1">
      <alignment horizontal="center" vertical="center"/>
    </xf>
    <xf numFmtId="167" fontId="161" fillId="0" borderId="16" xfId="0" applyNumberFormat="1" applyFont="1" applyFill="1" applyBorder="1" applyAlignment="1">
      <alignment horizontal="center" vertical="center"/>
    </xf>
    <xf numFmtId="167" fontId="161" fillId="0" borderId="16" xfId="0" quotePrefix="1" applyNumberFormat="1" applyFont="1" applyFill="1" applyBorder="1" applyAlignment="1">
      <alignment horizontal="center" vertical="center"/>
    </xf>
    <xf numFmtId="0" fontId="161" fillId="0" borderId="16" xfId="0" applyFont="1" applyBorder="1" applyAlignment="1">
      <alignment horizontal="center" vertical="center"/>
    </xf>
    <xf numFmtId="168" fontId="22" fillId="0" borderId="16" xfId="913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7" fillId="0" borderId="16" xfId="0" applyFont="1" applyBorder="1" applyAlignment="1">
      <alignment horizontal="center" vertical="center"/>
    </xf>
    <xf numFmtId="0" fontId="57" fillId="0" borderId="16" xfId="0" applyNumberFormat="1" applyFont="1" applyBorder="1" applyAlignment="1">
      <alignment horizontal="center" vertical="center"/>
    </xf>
    <xf numFmtId="3" fontId="57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0" fontId="57" fillId="0" borderId="16" xfId="0" applyFont="1" applyFill="1" applyBorder="1" applyAlignment="1">
      <alignment horizontal="center" vertical="center"/>
    </xf>
    <xf numFmtId="0" fontId="161" fillId="0" borderId="16" xfId="0" applyNumberFormat="1" applyFont="1" applyFill="1" applyBorder="1" applyAlignment="1">
      <alignment horizontal="center" vertical="center"/>
    </xf>
    <xf numFmtId="167" fontId="161" fillId="0" borderId="16" xfId="913" applyNumberFormat="1" applyFont="1" applyFill="1" applyBorder="1" applyAlignment="1">
      <alignment horizontal="center" vertical="center"/>
    </xf>
    <xf numFmtId="3" fontId="161" fillId="0" borderId="16" xfId="913" applyNumberFormat="1" applyFont="1" applyFill="1" applyBorder="1" applyAlignment="1">
      <alignment horizontal="center" vertical="center"/>
    </xf>
    <xf numFmtId="0" fontId="161" fillId="0" borderId="0" xfId="0" applyFont="1" applyFill="1" applyAlignment="1">
      <alignment vertical="center"/>
    </xf>
    <xf numFmtId="0" fontId="161" fillId="0" borderId="16" xfId="0" applyFont="1" applyBorder="1" applyAlignment="1">
      <alignment vertical="center" wrapText="1"/>
    </xf>
    <xf numFmtId="0" fontId="161" fillId="0" borderId="16" xfId="1707" applyFont="1" applyBorder="1" applyAlignment="1">
      <alignment horizontal="center" vertical="center"/>
    </xf>
    <xf numFmtId="0" fontId="161" fillId="0" borderId="16" xfId="0" applyNumberFormat="1" applyFont="1" applyBorder="1" applyAlignment="1">
      <alignment vertical="center"/>
    </xf>
    <xf numFmtId="0" fontId="22" fillId="0" borderId="16" xfId="0" applyFont="1" applyBorder="1" applyAlignment="1">
      <alignment horizontal="left" vertical="center" wrapText="1"/>
    </xf>
    <xf numFmtId="166" fontId="161" fillId="0" borderId="16" xfId="0" applyNumberFormat="1" applyFont="1" applyBorder="1" applyAlignment="1">
      <alignment horizontal="center" vertical="center" wrapText="1"/>
    </xf>
    <xf numFmtId="0" fontId="161" fillId="0" borderId="16" xfId="0" quotePrefix="1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161" fillId="0" borderId="0" xfId="0" applyFont="1" applyAlignment="1">
      <alignment horizontal="center" vertical="center"/>
    </xf>
    <xf numFmtId="167" fontId="161" fillId="0" borderId="0" xfId="0" applyNumberFormat="1" applyFont="1" applyAlignment="1">
      <alignment horizontal="center" vertical="center"/>
    </xf>
    <xf numFmtId="0" fontId="161" fillId="0" borderId="16" xfId="0" applyFont="1" applyBorder="1" applyAlignment="1">
      <alignment vertical="center"/>
    </xf>
    <xf numFmtId="0" fontId="161" fillId="0" borderId="16" xfId="0" applyFont="1" applyBorder="1" applyAlignment="1">
      <alignment horizontal="left" vertical="center" wrapText="1"/>
    </xf>
    <xf numFmtId="167" fontId="161" fillId="0" borderId="16" xfId="0" applyNumberFormat="1" applyFont="1" applyBorder="1" applyAlignment="1">
      <alignment horizontal="center" vertical="center" wrapText="1"/>
    </xf>
    <xf numFmtId="167" fontId="161" fillId="0" borderId="16" xfId="0" applyNumberFormat="1" applyFont="1" applyBorder="1" applyAlignment="1">
      <alignment horizontal="center" vertical="center"/>
    </xf>
    <xf numFmtId="0" fontId="57" fillId="0" borderId="16" xfId="0" applyFont="1" applyBorder="1" applyAlignment="1">
      <alignment vertical="center"/>
    </xf>
    <xf numFmtId="167" fontId="57" fillId="0" borderId="16" xfId="0" applyNumberFormat="1" applyFont="1" applyBorder="1" applyAlignment="1">
      <alignment horizontal="center" vertical="center" wrapText="1"/>
    </xf>
    <xf numFmtId="4" fontId="161" fillId="0" borderId="16" xfId="0" applyNumberFormat="1" applyFont="1" applyBorder="1" applyAlignment="1">
      <alignment horizontal="center" vertical="center" wrapText="1"/>
    </xf>
    <xf numFmtId="167" fontId="161" fillId="0" borderId="16" xfId="0" quotePrefix="1" applyNumberFormat="1" applyFont="1" applyBorder="1" applyAlignment="1">
      <alignment horizontal="center" vertical="center"/>
    </xf>
    <xf numFmtId="9" fontId="161" fillId="0" borderId="16" xfId="0" applyNumberFormat="1" applyFont="1" applyBorder="1" applyAlignment="1">
      <alignment horizontal="center" vertical="center" wrapText="1"/>
    </xf>
    <xf numFmtId="4" fontId="161" fillId="0" borderId="16" xfId="0" quotePrefix="1" applyNumberFormat="1" applyFont="1" applyBorder="1" applyAlignment="1">
      <alignment horizontal="center" vertical="center"/>
    </xf>
    <xf numFmtId="167" fontId="57" fillId="0" borderId="16" xfId="0" quotePrefix="1" applyNumberFormat="1" applyFont="1" applyBorder="1" applyAlignment="1">
      <alignment horizontal="center" vertical="center"/>
    </xf>
    <xf numFmtId="4" fontId="161" fillId="0" borderId="16" xfId="0" applyNumberFormat="1" applyFont="1" applyFill="1" applyBorder="1" applyAlignment="1">
      <alignment horizontal="center" vertical="center"/>
    </xf>
    <xf numFmtId="166" fontId="161" fillId="0" borderId="16" xfId="0" applyNumberFormat="1" applyFont="1" applyBorder="1" applyAlignment="1">
      <alignment vertical="center"/>
    </xf>
    <xf numFmtId="166" fontId="161" fillId="0" borderId="16" xfId="0" applyNumberFormat="1" applyFont="1" applyBorder="1" applyAlignment="1">
      <alignment horizontal="justify" vertical="center" wrapText="1"/>
    </xf>
    <xf numFmtId="166" fontId="57" fillId="0" borderId="16" xfId="0" applyNumberFormat="1" applyFont="1" applyBorder="1" applyAlignment="1">
      <alignment horizontal="justify" vertical="center" wrapText="1"/>
    </xf>
    <xf numFmtId="166" fontId="161" fillId="0" borderId="16" xfId="0" applyNumberFormat="1" applyFont="1" applyBorder="1" applyAlignment="1">
      <alignment horizontal="center" vertical="center"/>
    </xf>
    <xf numFmtId="166" fontId="57" fillId="0" borderId="16" xfId="0" applyNumberFormat="1" applyFont="1" applyBorder="1" applyAlignment="1">
      <alignment vertical="center"/>
    </xf>
    <xf numFmtId="166" fontId="57" fillId="0" borderId="16" xfId="0" applyNumberFormat="1" applyFont="1" applyBorder="1" applyAlignment="1">
      <alignment horizontal="center" vertical="center"/>
    </xf>
    <xf numFmtId="3" fontId="57" fillId="0" borderId="16" xfId="0" applyNumberFormat="1" applyFont="1" applyBorder="1" applyAlignment="1">
      <alignment horizontal="center" vertical="center"/>
    </xf>
    <xf numFmtId="3" fontId="57" fillId="0" borderId="16" xfId="0" applyNumberFormat="1" applyFont="1" applyBorder="1" applyAlignment="1">
      <alignment horizontal="center" vertical="center" wrapText="1"/>
    </xf>
    <xf numFmtId="166" fontId="57" fillId="0" borderId="16" xfId="0" applyNumberFormat="1" applyFont="1" applyFill="1" applyBorder="1" applyAlignment="1">
      <alignment vertical="center" wrapText="1"/>
    </xf>
    <xf numFmtId="3" fontId="161" fillId="0" borderId="16" xfId="0" quotePrefix="1" applyNumberFormat="1" applyFont="1" applyBorder="1" applyAlignment="1">
      <alignment horizontal="center" vertical="center"/>
    </xf>
    <xf numFmtId="0" fontId="161" fillId="0" borderId="16" xfId="0" applyNumberFormat="1" applyFont="1" applyBorder="1" applyAlignment="1">
      <alignment horizontal="center" vertical="center" wrapText="1"/>
    </xf>
    <xf numFmtId="166" fontId="57" fillId="0" borderId="16" xfId="0" applyNumberFormat="1" applyFont="1" applyFill="1" applyBorder="1" applyAlignment="1">
      <alignment horizontal="left" vertical="center"/>
    </xf>
    <xf numFmtId="167" fontId="57" fillId="0" borderId="16" xfId="0" quotePrefix="1" applyNumberFormat="1" applyFont="1" applyBorder="1" applyAlignment="1">
      <alignment horizontal="center" vertical="center" wrapText="1"/>
    </xf>
    <xf numFmtId="167" fontId="57" fillId="0" borderId="16" xfId="0" applyNumberFormat="1" applyFont="1" applyBorder="1" applyAlignment="1">
      <alignment horizontal="center" vertical="center"/>
    </xf>
    <xf numFmtId="0" fontId="57" fillId="0" borderId="16" xfId="0" applyFont="1" applyBorder="1" applyAlignment="1">
      <alignment vertical="center" wrapText="1"/>
    </xf>
    <xf numFmtId="166" fontId="57" fillId="0" borderId="16" xfId="0" applyNumberFormat="1" applyFont="1" applyFill="1" applyBorder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1" fontId="161" fillId="0" borderId="16" xfId="0" applyNumberFormat="1" applyFont="1" applyBorder="1" applyAlignment="1">
      <alignment horizontal="center" vertical="center" wrapText="1"/>
    </xf>
    <xf numFmtId="167" fontId="161" fillId="0" borderId="16" xfId="0" quotePrefix="1" applyNumberFormat="1" applyFont="1" applyBorder="1" applyAlignment="1">
      <alignment horizontal="center" vertical="center" wrapText="1"/>
    </xf>
    <xf numFmtId="0" fontId="161" fillId="0" borderId="16" xfId="0" applyNumberFormat="1" applyFont="1" applyBorder="1" applyAlignment="1">
      <alignment vertical="center" wrapText="1"/>
    </xf>
    <xf numFmtId="0" fontId="161" fillId="0" borderId="16" xfId="0" applyNumberFormat="1" applyFont="1" applyFill="1" applyBorder="1" applyAlignment="1">
      <alignment vertical="center"/>
    </xf>
    <xf numFmtId="0" fontId="161" fillId="0" borderId="16" xfId="0" applyNumberFormat="1" applyFont="1" applyBorder="1" applyAlignment="1">
      <alignment horizontal="justify" vertical="center" wrapText="1"/>
    </xf>
    <xf numFmtId="0" fontId="161" fillId="0" borderId="16" xfId="0" applyNumberFormat="1" applyFont="1" applyFill="1" applyBorder="1" applyAlignment="1">
      <alignment horizontal="center" vertical="center" wrapText="1"/>
    </xf>
    <xf numFmtId="0" fontId="161" fillId="0" borderId="16" xfId="0" applyFont="1" applyFill="1" applyBorder="1" applyAlignment="1">
      <alignment horizontal="center" vertical="center" wrapText="1"/>
    </xf>
    <xf numFmtId="166" fontId="161" fillId="0" borderId="16" xfId="0" applyNumberFormat="1" applyFont="1" applyFill="1" applyBorder="1" applyAlignment="1">
      <alignment horizontal="center" vertical="center" wrapText="1"/>
    </xf>
    <xf numFmtId="0" fontId="161" fillId="0" borderId="16" xfId="0" applyFont="1" applyFill="1" applyBorder="1" applyAlignment="1">
      <alignment vertical="center"/>
    </xf>
    <xf numFmtId="166" fontId="161" fillId="0" borderId="16" xfId="0" applyNumberFormat="1" applyFont="1" applyFill="1" applyBorder="1" applyAlignment="1">
      <alignment vertical="center"/>
    </xf>
    <xf numFmtId="166" fontId="161" fillId="0" borderId="16" xfId="0" applyNumberFormat="1" applyFont="1" applyFill="1" applyBorder="1" applyAlignment="1">
      <alignment horizontal="center" vertical="center"/>
    </xf>
    <xf numFmtId="166" fontId="161" fillId="0" borderId="16" xfId="0" quotePrefix="1" applyNumberFormat="1" applyFont="1" applyBorder="1" applyAlignment="1">
      <alignment horizontal="center" vertical="center" wrapText="1"/>
    </xf>
    <xf numFmtId="166" fontId="161" fillId="0" borderId="16" xfId="0" quotePrefix="1" applyNumberFormat="1" applyFont="1" applyFill="1" applyBorder="1" applyAlignment="1">
      <alignment horizontal="center" vertical="center" wrapText="1"/>
    </xf>
    <xf numFmtId="166" fontId="161" fillId="0" borderId="16" xfId="0" applyNumberFormat="1" applyFont="1" applyFill="1" applyBorder="1" applyAlignment="1">
      <alignment horizontal="left" vertical="center" wrapText="1"/>
    </xf>
    <xf numFmtId="172" fontId="161" fillId="0" borderId="16" xfId="0" applyNumberFormat="1" applyFont="1" applyFill="1" applyBorder="1" applyAlignment="1">
      <alignment horizontal="center" vertical="center"/>
    </xf>
    <xf numFmtId="3" fontId="161" fillId="0" borderId="16" xfId="0" quotePrefix="1" applyNumberFormat="1" applyFont="1" applyBorder="1" applyAlignment="1">
      <alignment horizontal="center" vertical="center" wrapText="1"/>
    </xf>
    <xf numFmtId="0" fontId="161" fillId="0" borderId="16" xfId="0" applyNumberFormat="1" applyFont="1" applyFill="1" applyBorder="1" applyAlignment="1">
      <alignment horizontal="justify" vertical="center" wrapText="1"/>
    </xf>
    <xf numFmtId="0" fontId="161" fillId="0" borderId="16" xfId="0" applyFont="1" applyFill="1" applyBorder="1" applyAlignment="1">
      <alignment horizontal="center" vertical="center"/>
    </xf>
    <xf numFmtId="166" fontId="22" fillId="0" borderId="16" xfId="0" applyNumberFormat="1" applyFont="1" applyBorder="1" applyAlignment="1">
      <alignment horizontal="center" vertical="center" wrapText="1"/>
    </xf>
    <xf numFmtId="166" fontId="22" fillId="0" borderId="16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166" fontId="161" fillId="0" borderId="16" xfId="0" quotePrefix="1" applyNumberFormat="1" applyFont="1" applyBorder="1" applyAlignment="1">
      <alignment horizontal="center" vertical="center"/>
    </xf>
    <xf numFmtId="0" fontId="161" fillId="0" borderId="16" xfId="0" quotePrefix="1" applyFont="1" applyBorder="1" applyAlignment="1">
      <alignment horizontal="center" vertical="center"/>
    </xf>
    <xf numFmtId="0" fontId="164" fillId="0" borderId="0" xfId="0" applyFont="1" applyAlignment="1">
      <alignment vertical="center"/>
    </xf>
    <xf numFmtId="1" fontId="161" fillId="0" borderId="16" xfId="0" applyNumberFormat="1" applyFont="1" applyBorder="1" applyAlignment="1">
      <alignment horizontal="center" vertical="center"/>
    </xf>
    <xf numFmtId="0" fontId="161" fillId="0" borderId="16" xfId="0" applyNumberFormat="1" applyFont="1" applyBorder="1" applyAlignment="1">
      <alignment horizontal="left" vertical="center" wrapText="1"/>
    </xf>
    <xf numFmtId="0" fontId="22" fillId="0" borderId="16" xfId="0" applyNumberFormat="1" applyFont="1" applyBorder="1" applyAlignment="1">
      <alignment horizontal="left" vertical="center" wrapText="1"/>
    </xf>
    <xf numFmtId="0" fontId="57" fillId="0" borderId="16" xfId="1713" applyNumberFormat="1" applyFont="1" applyFill="1" applyBorder="1" applyAlignment="1">
      <alignment horizontal="left" vertical="center"/>
    </xf>
    <xf numFmtId="0" fontId="161" fillId="0" borderId="16" xfId="0" quotePrefix="1" applyNumberFormat="1" applyFont="1" applyFill="1" applyBorder="1" applyAlignment="1">
      <alignment vertical="center"/>
    </xf>
    <xf numFmtId="0" fontId="161" fillId="0" borderId="0" xfId="0" applyFont="1"/>
    <xf numFmtId="0" fontId="22" fillId="0" borderId="0" xfId="0" applyFont="1"/>
    <xf numFmtId="0" fontId="161" fillId="0" borderId="16" xfId="0" applyFont="1" applyBorder="1" applyAlignment="1">
      <alignment horizontal="justify" vertical="center" wrapText="1"/>
    </xf>
    <xf numFmtId="0" fontId="161" fillId="0" borderId="16" xfId="0" quotePrefix="1" applyFont="1" applyFill="1" applyBorder="1" applyAlignment="1">
      <alignment horizontal="center" vertical="center"/>
    </xf>
    <xf numFmtId="0" fontId="161" fillId="0" borderId="16" xfId="0" applyNumberFormat="1" applyFont="1" applyBorder="1" applyAlignment="1">
      <alignment horizontal="justify" vertical="center"/>
    </xf>
    <xf numFmtId="2" fontId="161" fillId="0" borderId="16" xfId="0" applyNumberFormat="1" applyFont="1" applyBorder="1" applyAlignment="1">
      <alignment horizontal="center" vertical="center"/>
    </xf>
    <xf numFmtId="0" fontId="161" fillId="0" borderId="16" xfId="0" applyNumberFormat="1" applyFont="1" applyFill="1" applyBorder="1" applyAlignment="1">
      <alignment horizontal="justify" vertical="center"/>
    </xf>
    <xf numFmtId="168" fontId="55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/>
    </xf>
    <xf numFmtId="168" fontId="160" fillId="0" borderId="16" xfId="913" applyNumberFormat="1" applyFont="1" applyBorder="1" applyAlignment="1">
      <alignment vertical="center"/>
    </xf>
    <xf numFmtId="0" fontId="160" fillId="0" borderId="16" xfId="0" applyFont="1" applyBorder="1" applyAlignment="1">
      <alignment vertical="center" wrapText="1"/>
    </xf>
    <xf numFmtId="168" fontId="161" fillId="0" borderId="16" xfId="913" applyNumberFormat="1" applyFont="1" applyBorder="1" applyAlignment="1">
      <alignment vertical="center"/>
    </xf>
    <xf numFmtId="0" fontId="161" fillId="0" borderId="0" xfId="0" applyFont="1" applyAlignment="1">
      <alignment horizontal="left" vertical="center"/>
    </xf>
    <xf numFmtId="0" fontId="164" fillId="0" borderId="16" xfId="0" applyFont="1" applyBorder="1" applyAlignment="1">
      <alignment horizontal="center" vertical="center"/>
    </xf>
    <xf numFmtId="0" fontId="57" fillId="0" borderId="16" xfId="0" applyNumberFormat="1" applyFont="1" applyBorder="1" applyAlignment="1">
      <alignment horizontal="left" vertical="center"/>
    </xf>
    <xf numFmtId="0" fontId="22" fillId="0" borderId="16" xfId="0" applyNumberFormat="1" applyFont="1" applyBorder="1" applyAlignment="1">
      <alignment horizontal="left" vertical="center"/>
    </xf>
    <xf numFmtId="167" fontId="22" fillId="0" borderId="16" xfId="0" applyNumberFormat="1" applyFont="1" applyBorder="1" applyAlignment="1">
      <alignment horizontal="center" vertical="center"/>
    </xf>
    <xf numFmtId="3" fontId="22" fillId="0" borderId="16" xfId="0" quotePrefix="1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0" fontId="164" fillId="0" borderId="16" xfId="0" applyNumberFormat="1" applyFont="1" applyBorder="1" applyAlignment="1">
      <alignment horizontal="left" vertical="center" wrapText="1"/>
    </xf>
    <xf numFmtId="0" fontId="164" fillId="0" borderId="16" xfId="0" applyNumberFormat="1" applyFont="1" applyBorder="1" applyAlignment="1">
      <alignment horizontal="center" vertical="center"/>
    </xf>
    <xf numFmtId="0" fontId="57" fillId="0" borderId="16" xfId="0" applyNumberFormat="1" applyFont="1" applyBorder="1" applyAlignment="1">
      <alignment horizontal="left" vertical="center" wrapText="1"/>
    </xf>
    <xf numFmtId="49" fontId="161" fillId="0" borderId="16" xfId="0" applyNumberFormat="1" applyFont="1" applyBorder="1" applyAlignment="1">
      <alignment vertical="center"/>
    </xf>
    <xf numFmtId="0" fontId="161" fillId="44" borderId="16" xfId="0" applyNumberFormat="1" applyFont="1" applyFill="1" applyBorder="1" applyAlignment="1">
      <alignment horizontal="justify" vertical="center" wrapText="1"/>
    </xf>
    <xf numFmtId="3" fontId="164" fillId="0" borderId="16" xfId="0" applyNumberFormat="1" applyFont="1" applyFill="1" applyBorder="1" applyAlignment="1">
      <alignment horizontal="center" vertical="center"/>
    </xf>
    <xf numFmtId="167" fontId="164" fillId="0" borderId="0" xfId="0" applyNumberFormat="1" applyFont="1" applyAlignment="1">
      <alignment vertical="center"/>
    </xf>
    <xf numFmtId="0" fontId="161" fillId="0" borderId="0" xfId="0" applyFont="1" applyAlignment="1">
      <alignment vertical="center" wrapText="1"/>
    </xf>
    <xf numFmtId="0" fontId="23" fillId="44" borderId="16" xfId="0" applyNumberFormat="1" applyFont="1" applyFill="1" applyBorder="1" applyAlignment="1">
      <alignment horizontal="center" vertical="center" wrapText="1"/>
    </xf>
    <xf numFmtId="0" fontId="57" fillId="0" borderId="16" xfId="0" applyNumberFormat="1" applyFont="1" applyFill="1" applyBorder="1" applyAlignment="1">
      <alignment vertical="center"/>
    </xf>
    <xf numFmtId="0" fontId="57" fillId="0" borderId="16" xfId="0" applyNumberFormat="1" applyFont="1" applyFill="1" applyBorder="1" applyAlignment="1">
      <alignment horizontal="center" vertical="center"/>
    </xf>
    <xf numFmtId="3" fontId="161" fillId="0" borderId="16" xfId="0" applyNumberFormat="1" applyFont="1" applyFill="1" applyBorder="1" applyAlignment="1">
      <alignment horizontal="center" vertical="center" wrapText="1"/>
    </xf>
    <xf numFmtId="4" fontId="161" fillId="0" borderId="16" xfId="0" quotePrefix="1" applyNumberFormat="1" applyFont="1" applyFill="1" applyBorder="1" applyAlignment="1">
      <alignment horizontal="center" vertical="center"/>
    </xf>
    <xf numFmtId="2" fontId="161" fillId="0" borderId="0" xfId="0" applyNumberFormat="1" applyFont="1" applyAlignment="1">
      <alignment vertical="center"/>
    </xf>
    <xf numFmtId="1" fontId="161" fillId="0" borderId="16" xfId="0" applyNumberFormat="1" applyFont="1" applyFill="1" applyBorder="1" applyAlignment="1">
      <alignment horizontal="center" vertical="center" wrapText="1"/>
    </xf>
    <xf numFmtId="3" fontId="57" fillId="0" borderId="16" xfId="0" quotePrefix="1" applyNumberFormat="1" applyFont="1" applyBorder="1" applyAlignment="1">
      <alignment horizontal="center" vertical="center"/>
    </xf>
    <xf numFmtId="167" fontId="57" fillId="0" borderId="0" xfId="0" applyNumberFormat="1" applyFont="1" applyAlignment="1">
      <alignment vertical="center"/>
    </xf>
    <xf numFmtId="1" fontId="161" fillId="0" borderId="0" xfId="1709" applyNumberFormat="1" applyFont="1" applyFill="1" applyAlignment="1">
      <alignment vertical="center"/>
    </xf>
    <xf numFmtId="0" fontId="22" fillId="0" borderId="0" xfId="1705" applyFont="1" applyAlignment="1">
      <alignment horizontal="center" vertical="center" wrapText="1"/>
    </xf>
    <xf numFmtId="4" fontId="161" fillId="0" borderId="0" xfId="1705" applyNumberFormat="1" applyFont="1" applyAlignment="1">
      <alignment vertical="center"/>
    </xf>
    <xf numFmtId="0" fontId="161" fillId="0" borderId="16" xfId="1705" applyFont="1" applyBorder="1" applyAlignment="1">
      <alignment horizontal="center" vertical="center"/>
    </xf>
    <xf numFmtId="3" fontId="161" fillId="0" borderId="0" xfId="0" applyNumberFormat="1" applyFont="1" applyAlignment="1">
      <alignment vertical="center" wrapText="1"/>
    </xf>
    <xf numFmtId="0" fontId="22" fillId="0" borderId="16" xfId="0" applyNumberFormat="1" applyFont="1" applyFill="1" applyBorder="1" applyAlignment="1">
      <alignment horizontal="justify" vertical="center"/>
    </xf>
    <xf numFmtId="0" fontId="22" fillId="0" borderId="16" xfId="0" applyFont="1" applyBorder="1" applyAlignment="1">
      <alignment vertical="center"/>
    </xf>
    <xf numFmtId="0" fontId="22" fillId="0" borderId="16" xfId="1705" applyFont="1" applyBorder="1" applyAlignment="1">
      <alignment horizontal="center" vertical="center"/>
    </xf>
    <xf numFmtId="0" fontId="161" fillId="0" borderId="16" xfId="1705" applyFont="1" applyBorder="1" applyAlignment="1">
      <alignment vertical="center"/>
    </xf>
    <xf numFmtId="0" fontId="161" fillId="0" borderId="16" xfId="0" applyFont="1" applyBorder="1" applyAlignment="1">
      <alignment horizontal="left" vertical="center"/>
    </xf>
    <xf numFmtId="166" fontId="22" fillId="0" borderId="16" xfId="0" applyNumberFormat="1" applyFont="1" applyFill="1" applyBorder="1" applyAlignment="1">
      <alignment horizontal="center" vertical="center"/>
    </xf>
    <xf numFmtId="3" fontId="161" fillId="0" borderId="16" xfId="0" quotePrefix="1" applyNumberFormat="1" applyFont="1" applyFill="1" applyBorder="1" applyAlignment="1">
      <alignment horizontal="center" vertical="center"/>
    </xf>
    <xf numFmtId="3" fontId="22" fillId="0" borderId="16" xfId="0" applyNumberFormat="1" applyFont="1" applyFill="1" applyBorder="1" applyAlignment="1">
      <alignment horizontal="center" vertical="center"/>
    </xf>
    <xf numFmtId="0" fontId="164" fillId="0" borderId="16" xfId="1705" applyFont="1" applyBorder="1" applyAlignment="1">
      <alignment horizontal="center" vertical="center"/>
    </xf>
    <xf numFmtId="0" fontId="57" fillId="0" borderId="16" xfId="1705" applyFont="1" applyBorder="1" applyAlignment="1">
      <alignment vertical="center"/>
    </xf>
    <xf numFmtId="0" fontId="57" fillId="0" borderId="0" xfId="1705" applyFont="1" applyAlignment="1">
      <alignment vertical="center"/>
    </xf>
    <xf numFmtId="0" fontId="57" fillId="0" borderId="16" xfId="1705" applyFont="1" applyBorder="1" applyAlignment="1">
      <alignment horizontal="center" vertical="center"/>
    </xf>
    <xf numFmtId="166" fontId="22" fillId="62" borderId="16" xfId="0" applyNumberFormat="1" applyFont="1" applyFill="1" applyBorder="1" applyAlignment="1">
      <alignment horizontal="center" vertical="center"/>
    </xf>
    <xf numFmtId="166" fontId="22" fillId="63" borderId="16" xfId="0" applyNumberFormat="1" applyFont="1" applyFill="1" applyBorder="1" applyAlignment="1">
      <alignment horizontal="center" vertical="center"/>
    </xf>
    <xf numFmtId="0" fontId="22" fillId="0" borderId="0" xfId="1708" applyFont="1" applyAlignment="1">
      <alignment horizontal="center" vertical="center"/>
    </xf>
    <xf numFmtId="0" fontId="57" fillId="0" borderId="0" xfId="1708" applyNumberFormat="1" applyFont="1" applyAlignment="1">
      <alignment horizontal="center" vertical="center"/>
    </xf>
    <xf numFmtId="0" fontId="161" fillId="0" borderId="0" xfId="1708" applyFont="1" applyAlignment="1">
      <alignment vertical="center"/>
    </xf>
    <xf numFmtId="0" fontId="22" fillId="62" borderId="16" xfId="1705" applyFont="1" applyFill="1" applyBorder="1" applyAlignment="1">
      <alignment horizontal="center" vertical="center"/>
    </xf>
    <xf numFmtId="166" fontId="22" fillId="62" borderId="16" xfId="1705" applyNumberFormat="1" applyFont="1" applyFill="1" applyBorder="1" applyAlignment="1">
      <alignment horizontal="center" vertical="center"/>
    </xf>
    <xf numFmtId="0" fontId="22" fillId="62" borderId="16" xfId="1705" applyNumberFormat="1" applyFont="1" applyFill="1" applyBorder="1" applyAlignment="1">
      <alignment horizontal="center" vertical="center"/>
    </xf>
    <xf numFmtId="3" fontId="22" fillId="62" borderId="16" xfId="1705" applyNumberFormat="1" applyFont="1" applyFill="1" applyBorder="1" applyAlignment="1">
      <alignment horizontal="center" vertical="center"/>
    </xf>
    <xf numFmtId="166" fontId="161" fillId="0" borderId="16" xfId="1705" applyNumberFormat="1" applyFont="1" applyBorder="1" applyAlignment="1">
      <alignment vertical="center"/>
    </xf>
    <xf numFmtId="3" fontId="161" fillId="0" borderId="16" xfId="1705" applyNumberFormat="1" applyFont="1" applyFill="1" applyBorder="1" applyAlignment="1">
      <alignment horizontal="center" vertical="center"/>
    </xf>
    <xf numFmtId="167" fontId="161" fillId="0" borderId="16" xfId="1705" applyNumberFormat="1" applyFont="1" applyFill="1" applyBorder="1" applyAlignment="1">
      <alignment horizontal="center" vertical="center"/>
    </xf>
    <xf numFmtId="166" fontId="161" fillId="0" borderId="16" xfId="0" quotePrefix="1" applyNumberFormat="1" applyFont="1" applyFill="1" applyBorder="1" applyAlignment="1">
      <alignment horizontal="center" vertical="center"/>
    </xf>
    <xf numFmtId="166" fontId="161" fillId="0" borderId="16" xfId="0" applyNumberFormat="1" applyFont="1" applyFill="1" applyBorder="1" applyAlignment="1">
      <alignment horizontal="justify" vertical="center" wrapText="1"/>
    </xf>
    <xf numFmtId="166" fontId="57" fillId="0" borderId="16" xfId="0" applyNumberFormat="1" applyFont="1" applyFill="1" applyBorder="1" applyAlignment="1">
      <alignment horizontal="center" vertical="center"/>
    </xf>
    <xf numFmtId="166" fontId="164" fillId="0" borderId="16" xfId="0" applyNumberFormat="1" applyFont="1" applyFill="1" applyBorder="1" applyAlignment="1">
      <alignment horizontal="justify" vertical="center"/>
    </xf>
    <xf numFmtId="166" fontId="164" fillId="0" borderId="16" xfId="0" applyNumberFormat="1" applyFont="1" applyFill="1" applyBorder="1" applyAlignment="1">
      <alignment horizontal="center" vertical="center" wrapText="1"/>
    </xf>
    <xf numFmtId="0" fontId="161" fillId="0" borderId="16" xfId="1712" applyNumberFormat="1" applyFont="1" applyFill="1" applyBorder="1" applyAlignment="1">
      <alignment horizontal="left" vertical="center" wrapText="1"/>
    </xf>
    <xf numFmtId="0" fontId="57" fillId="0" borderId="16" xfId="1713" applyNumberFormat="1" applyFont="1" applyFill="1" applyBorder="1" applyAlignment="1">
      <alignment horizontal="center" vertical="center"/>
    </xf>
    <xf numFmtId="167" fontId="22" fillId="0" borderId="16" xfId="0" applyNumberFormat="1" applyFont="1" applyBorder="1" applyAlignment="1">
      <alignment horizontal="center" vertical="center" wrapText="1"/>
    </xf>
    <xf numFmtId="4" fontId="161" fillId="0" borderId="16" xfId="0" applyNumberFormat="1" applyFont="1" applyFill="1" applyBorder="1" applyAlignment="1">
      <alignment horizontal="center" vertical="center" wrapText="1"/>
    </xf>
    <xf numFmtId="4" fontId="161" fillId="0" borderId="16" xfId="0" applyNumberFormat="1" applyFont="1" applyBorder="1" applyAlignment="1">
      <alignment horizontal="center" vertical="center"/>
    </xf>
    <xf numFmtId="0" fontId="22" fillId="63" borderId="16" xfId="0" applyFont="1" applyFill="1" applyBorder="1" applyAlignment="1">
      <alignment horizontal="center" vertical="center"/>
    </xf>
    <xf numFmtId="0" fontId="22" fillId="63" borderId="16" xfId="0" applyFont="1" applyFill="1" applyBorder="1" applyAlignment="1">
      <alignment horizontal="left" vertical="center" wrapText="1"/>
    </xf>
    <xf numFmtId="0" fontId="22" fillId="63" borderId="16" xfId="0" applyFont="1" applyFill="1" applyBorder="1" applyAlignment="1">
      <alignment horizontal="center" vertical="center" wrapText="1"/>
    </xf>
    <xf numFmtId="0" fontId="161" fillId="63" borderId="16" xfId="0" applyFont="1" applyFill="1" applyBorder="1" applyAlignment="1">
      <alignment horizontal="center" vertical="center" wrapText="1"/>
    </xf>
    <xf numFmtId="0" fontId="23" fillId="63" borderId="16" xfId="0" applyNumberFormat="1" applyFont="1" applyFill="1" applyBorder="1" applyAlignment="1">
      <alignment horizontal="center" vertical="center" wrapText="1"/>
    </xf>
    <xf numFmtId="0" fontId="22" fillId="63" borderId="16" xfId="0" applyNumberFormat="1" applyFont="1" applyFill="1" applyBorder="1" applyAlignment="1">
      <alignment horizontal="left" vertical="center"/>
    </xf>
    <xf numFmtId="0" fontId="22" fillId="63" borderId="16" xfId="0" applyNumberFormat="1" applyFont="1" applyFill="1" applyBorder="1" applyAlignment="1">
      <alignment horizontal="center" vertical="center"/>
    </xf>
    <xf numFmtId="3" fontId="22" fillId="63" borderId="16" xfId="0" applyNumberFormat="1" applyFont="1" applyFill="1" applyBorder="1" applyAlignment="1">
      <alignment horizontal="center" vertical="center"/>
    </xf>
    <xf numFmtId="3" fontId="22" fillId="63" borderId="16" xfId="0" applyNumberFormat="1" applyFont="1" applyFill="1" applyBorder="1" applyAlignment="1">
      <alignment horizontal="center" vertical="center" wrapText="1"/>
    </xf>
    <xf numFmtId="3" fontId="22" fillId="63" borderId="16" xfId="0" quotePrefix="1" applyNumberFormat="1" applyFont="1" applyFill="1" applyBorder="1" applyAlignment="1">
      <alignment horizontal="center" vertical="center"/>
    </xf>
    <xf numFmtId="166" fontId="22" fillId="63" borderId="16" xfId="0" applyNumberFormat="1" applyFont="1" applyFill="1" applyBorder="1" applyAlignment="1">
      <alignment horizontal="justify" vertical="center" wrapText="1"/>
    </xf>
    <xf numFmtId="3" fontId="161" fillId="63" borderId="16" xfId="0" quotePrefix="1" applyNumberFormat="1" applyFont="1" applyFill="1" applyBorder="1" applyAlignment="1">
      <alignment horizontal="center" vertical="center"/>
    </xf>
    <xf numFmtId="0" fontId="22" fillId="0" borderId="16" xfId="0" quotePrefix="1" applyFont="1" applyBorder="1" applyAlignment="1">
      <alignment horizontal="center" vertical="center"/>
    </xf>
    <xf numFmtId="0" fontId="22" fillId="63" borderId="16" xfId="0" applyNumberFormat="1" applyFont="1" applyFill="1" applyBorder="1" applyAlignment="1">
      <alignment horizontal="justify" vertical="center"/>
    </xf>
    <xf numFmtId="167" fontId="22" fillId="63" borderId="16" xfId="0" applyNumberFormat="1" applyFont="1" applyFill="1" applyBorder="1" applyAlignment="1">
      <alignment horizontal="center" vertical="center"/>
    </xf>
    <xf numFmtId="2" fontId="22" fillId="63" borderId="16" xfId="0" quotePrefix="1" applyNumberFormat="1" applyFont="1" applyFill="1" applyBorder="1" applyAlignment="1">
      <alignment horizontal="center" vertical="center"/>
    </xf>
    <xf numFmtId="0" fontId="22" fillId="63" borderId="16" xfId="0" applyFont="1" applyFill="1" applyBorder="1" applyAlignment="1">
      <alignment horizontal="left" vertical="center"/>
    </xf>
    <xf numFmtId="0" fontId="22" fillId="63" borderId="16" xfId="0" applyFont="1" applyFill="1" applyBorder="1" applyAlignment="1">
      <alignment horizontal="justify" vertical="center" wrapText="1"/>
    </xf>
    <xf numFmtId="0" fontId="161" fillId="63" borderId="16" xfId="0" applyFont="1" applyFill="1" applyBorder="1" applyAlignment="1">
      <alignment horizontal="left" vertical="center" wrapText="1"/>
    </xf>
    <xf numFmtId="167" fontId="161" fillId="63" borderId="16" xfId="0" applyNumberFormat="1" applyFont="1" applyFill="1" applyBorder="1" applyAlignment="1">
      <alignment horizontal="center" vertical="center" wrapText="1"/>
    </xf>
    <xf numFmtId="167" fontId="22" fillId="63" borderId="16" xfId="0" applyNumberFormat="1" applyFont="1" applyFill="1" applyBorder="1" applyAlignment="1">
      <alignment horizontal="center" vertical="center" wrapText="1"/>
    </xf>
    <xf numFmtId="0" fontId="22" fillId="63" borderId="16" xfId="0" applyNumberFormat="1" applyFont="1" applyFill="1" applyBorder="1" applyAlignment="1">
      <alignment vertical="center"/>
    </xf>
    <xf numFmtId="0" fontId="161" fillId="63" borderId="16" xfId="0" applyFont="1" applyFill="1" applyBorder="1" applyAlignment="1">
      <alignment horizontal="center" vertical="center"/>
    </xf>
    <xf numFmtId="167" fontId="161" fillId="63" borderId="16" xfId="0" applyNumberFormat="1" applyFont="1" applyFill="1" applyBorder="1" applyAlignment="1">
      <alignment horizontal="center" vertical="center"/>
    </xf>
    <xf numFmtId="167" fontId="161" fillId="63" borderId="16" xfId="0" applyNumberFormat="1" applyFont="1" applyFill="1" applyBorder="1" applyAlignment="1">
      <alignment vertical="center"/>
    </xf>
    <xf numFmtId="166" fontId="161" fillId="63" borderId="16" xfId="0" applyNumberFormat="1" applyFont="1" applyFill="1" applyBorder="1" applyAlignment="1">
      <alignment horizontal="center" vertical="center" wrapText="1"/>
    </xf>
    <xf numFmtId="4" fontId="22" fillId="0" borderId="16" xfId="0" applyNumberFormat="1" applyFont="1" applyBorder="1" applyAlignment="1">
      <alignment horizontal="center" vertical="center"/>
    </xf>
    <xf numFmtId="0" fontId="161" fillId="0" borderId="16" xfId="1713" applyNumberFormat="1" applyFont="1" applyBorder="1" applyAlignment="1">
      <alignment horizontal="left" vertical="center" wrapText="1"/>
    </xf>
    <xf numFmtId="0" fontId="161" fillId="0" borderId="16" xfId="1713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 wrapText="1"/>
    </xf>
    <xf numFmtId="166" fontId="57" fillId="0" borderId="16" xfId="0" applyNumberFormat="1" applyFont="1" applyBorder="1" applyAlignment="1">
      <alignment horizontal="center" vertical="center" wrapText="1"/>
    </xf>
    <xf numFmtId="2" fontId="161" fillId="0" borderId="16" xfId="0" quotePrefix="1" applyNumberFormat="1" applyFont="1" applyBorder="1" applyAlignment="1">
      <alignment horizontal="center" vertical="center" wrapText="1"/>
    </xf>
    <xf numFmtId="1" fontId="161" fillId="0" borderId="16" xfId="0" quotePrefix="1" applyNumberFormat="1" applyFont="1" applyBorder="1" applyAlignment="1">
      <alignment horizontal="center" vertical="center" wrapText="1"/>
    </xf>
    <xf numFmtId="166" fontId="22" fillId="0" borderId="16" xfId="0" quotePrefix="1" applyNumberFormat="1" applyFont="1" applyBorder="1" applyAlignment="1">
      <alignment horizontal="center" vertical="center" wrapText="1"/>
    </xf>
    <xf numFmtId="166" fontId="161" fillId="0" borderId="16" xfId="0" applyNumberFormat="1" applyFont="1" applyBorder="1" applyAlignment="1">
      <alignment horizontal="justify" vertical="center"/>
    </xf>
    <xf numFmtId="167" fontId="161" fillId="0" borderId="16" xfId="0" quotePrefix="1" applyNumberFormat="1" applyFont="1" applyFill="1" applyBorder="1" applyAlignment="1">
      <alignment horizontal="center" vertical="center" wrapText="1"/>
    </xf>
    <xf numFmtId="166" fontId="161" fillId="0" borderId="16" xfId="0" applyNumberFormat="1" applyFont="1" applyBorder="1" applyAlignment="1">
      <alignment horizontal="left" vertical="center"/>
    </xf>
    <xf numFmtId="167" fontId="161" fillId="0" borderId="16" xfId="1705" applyNumberFormat="1" applyFont="1" applyBorder="1" applyAlignment="1">
      <alignment horizontal="center" vertical="center"/>
    </xf>
    <xf numFmtId="3" fontId="161" fillId="0" borderId="16" xfId="1705" applyNumberFormat="1" applyFont="1" applyBorder="1" applyAlignment="1">
      <alignment horizontal="center" vertical="center"/>
    </xf>
    <xf numFmtId="3" fontId="57" fillId="0" borderId="16" xfId="1705" applyNumberFormat="1" applyFont="1" applyBorder="1" applyAlignment="1">
      <alignment horizontal="center" vertical="center"/>
    </xf>
    <xf numFmtId="167" fontId="161" fillId="0" borderId="16" xfId="0" applyNumberFormat="1" applyFont="1" applyFill="1" applyBorder="1" applyAlignment="1">
      <alignment horizontal="center" vertical="center" wrapText="1"/>
    </xf>
    <xf numFmtId="2" fontId="22" fillId="0" borderId="16" xfId="0" quotePrefix="1" applyNumberFormat="1" applyFont="1" applyFill="1" applyBorder="1" applyAlignment="1">
      <alignment horizontal="center" vertical="center"/>
    </xf>
    <xf numFmtId="166" fontId="22" fillId="0" borderId="16" xfId="0" quotePrefix="1" applyNumberFormat="1" applyFont="1" applyFill="1" applyBorder="1" applyAlignment="1">
      <alignment horizontal="center" vertical="center"/>
    </xf>
    <xf numFmtId="2" fontId="22" fillId="0" borderId="0" xfId="0" applyNumberFormat="1" applyFont="1" applyAlignment="1">
      <alignment vertical="center"/>
    </xf>
    <xf numFmtId="166" fontId="164" fillId="0" borderId="16" xfId="0" quotePrefix="1" applyNumberFormat="1" applyFont="1" applyBorder="1" applyAlignment="1">
      <alignment horizontal="center" vertical="center"/>
    </xf>
    <xf numFmtId="1" fontId="57" fillId="0" borderId="0" xfId="0" applyNumberFormat="1" applyFont="1" applyAlignment="1">
      <alignment vertical="center"/>
    </xf>
    <xf numFmtId="166" fontId="164" fillId="0" borderId="0" xfId="0" applyNumberFormat="1" applyFont="1" applyAlignment="1">
      <alignment vertical="center"/>
    </xf>
    <xf numFmtId="3" fontId="161" fillId="0" borderId="0" xfId="1705" applyNumberFormat="1" applyFont="1" applyAlignment="1">
      <alignment vertical="center"/>
    </xf>
    <xf numFmtId="167" fontId="164" fillId="0" borderId="16" xfId="0" quotePrefix="1" applyNumberFormat="1" applyFont="1" applyFill="1" applyBorder="1" applyAlignment="1">
      <alignment horizontal="center" vertical="center"/>
    </xf>
    <xf numFmtId="3" fontId="161" fillId="0" borderId="16" xfId="1711" applyNumberFormat="1" applyFont="1" applyFill="1" applyBorder="1" applyAlignment="1">
      <alignment horizontal="center" vertical="center"/>
    </xf>
    <xf numFmtId="1" fontId="161" fillId="0" borderId="16" xfId="0" quotePrefix="1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vertical="center"/>
    </xf>
    <xf numFmtId="3" fontId="164" fillId="0" borderId="16" xfId="0" quotePrefix="1" applyNumberFormat="1" applyFont="1" applyFill="1" applyBorder="1" applyAlignment="1">
      <alignment horizontal="center" vertical="center"/>
    </xf>
    <xf numFmtId="167" fontId="164" fillId="0" borderId="16" xfId="0" applyNumberFormat="1" applyFont="1" applyFill="1" applyBorder="1" applyAlignment="1">
      <alignment horizontal="center" vertical="center"/>
    </xf>
    <xf numFmtId="0" fontId="57" fillId="0" borderId="16" xfId="0" applyFont="1" applyBorder="1" applyAlignment="1">
      <alignment horizontal="justify" vertical="center" wrapText="1"/>
    </xf>
    <xf numFmtId="166" fontId="16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7" fontId="22" fillId="0" borderId="1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169" fillId="44" borderId="0" xfId="0" applyFont="1" applyFill="1" applyAlignment="1">
      <alignment horizontal="center" vertical="center"/>
    </xf>
    <xf numFmtId="0" fontId="61" fillId="44" borderId="0" xfId="0" applyFont="1" applyFill="1" applyAlignment="1">
      <alignment vertical="center"/>
    </xf>
    <xf numFmtId="0" fontId="61" fillId="0" borderId="0" xfId="0" applyFont="1" applyAlignment="1">
      <alignment horizontal="center" vertical="center"/>
    </xf>
    <xf numFmtId="0" fontId="169" fillId="0" borderId="0" xfId="0" applyFont="1" applyFill="1" applyBorder="1" applyAlignment="1">
      <alignment horizontal="center" vertical="center"/>
    </xf>
    <xf numFmtId="0" fontId="61" fillId="0" borderId="16" xfId="0" applyFont="1" applyBorder="1" applyAlignment="1">
      <alignment horizontal="center" vertical="center" wrapText="1"/>
    </xf>
    <xf numFmtId="0" fontId="169" fillId="57" borderId="16" xfId="0" applyFont="1" applyFill="1" applyBorder="1" applyAlignment="1">
      <alignment horizontal="center" vertical="center"/>
    </xf>
    <xf numFmtId="0" fontId="169" fillId="57" borderId="16" xfId="0" applyFont="1" applyFill="1" applyBorder="1" applyAlignment="1">
      <alignment horizontal="left" vertical="center" wrapText="1"/>
    </xf>
    <xf numFmtId="0" fontId="169" fillId="57" borderId="16" xfId="0" applyFont="1" applyFill="1" applyBorder="1" applyAlignment="1">
      <alignment horizontal="center" vertical="center" wrapText="1"/>
    </xf>
    <xf numFmtId="0" fontId="61" fillId="57" borderId="16" xfId="0" applyFont="1" applyFill="1" applyBorder="1" applyAlignment="1">
      <alignment horizontal="center" vertical="center" wrapText="1"/>
    </xf>
    <xf numFmtId="0" fontId="61" fillId="57" borderId="16" xfId="0" applyNumberFormat="1" applyFont="1" applyFill="1" applyBorder="1" applyAlignment="1">
      <alignment horizontal="center" vertical="center" wrapText="1"/>
    </xf>
    <xf numFmtId="0" fontId="169" fillId="61" borderId="16" xfId="0" applyFont="1" applyFill="1" applyBorder="1" applyAlignment="1">
      <alignment horizontal="center" vertical="center"/>
    </xf>
    <xf numFmtId="0" fontId="169" fillId="61" borderId="16" xfId="0" applyFont="1" applyFill="1" applyBorder="1" applyAlignment="1">
      <alignment horizontal="left" vertical="center" wrapText="1"/>
    </xf>
    <xf numFmtId="0" fontId="169" fillId="61" borderId="16" xfId="0" applyNumberFormat="1" applyFont="1" applyFill="1" applyBorder="1" applyAlignment="1">
      <alignment horizontal="center" vertical="center"/>
    </xf>
    <xf numFmtId="3" fontId="169" fillId="61" borderId="16" xfId="0" applyNumberFormat="1" applyFont="1" applyFill="1" applyBorder="1" applyAlignment="1">
      <alignment horizontal="center" vertical="center"/>
    </xf>
    <xf numFmtId="166" fontId="169" fillId="63" borderId="16" xfId="0" applyNumberFormat="1" applyFont="1" applyFill="1" applyBorder="1" applyAlignment="1">
      <alignment horizontal="center" vertical="center"/>
    </xf>
    <xf numFmtId="0" fontId="170" fillId="0" borderId="16" xfId="0" applyNumberFormat="1" applyFont="1" applyBorder="1" applyAlignment="1">
      <alignment horizontal="left" vertical="center"/>
    </xf>
    <xf numFmtId="0" fontId="61" fillId="0" borderId="16" xfId="0" applyNumberFormat="1" applyFont="1" applyBorder="1" applyAlignment="1">
      <alignment horizontal="center" vertical="center"/>
    </xf>
    <xf numFmtId="3" fontId="61" fillId="0" borderId="16" xfId="0" applyNumberFormat="1" applyFont="1" applyBorder="1" applyAlignment="1">
      <alignment horizontal="center" vertical="center" wrapText="1"/>
    </xf>
    <xf numFmtId="166" fontId="61" fillId="0" borderId="16" xfId="0" applyNumberFormat="1" applyFont="1" applyFill="1" applyBorder="1" applyAlignment="1">
      <alignment horizontal="center" vertical="center"/>
    </xf>
    <xf numFmtId="0" fontId="61" fillId="0" borderId="16" xfId="0" applyNumberFormat="1" applyFont="1" applyBorder="1" applyAlignment="1">
      <alignment horizontal="left" vertical="center"/>
    </xf>
    <xf numFmtId="0" fontId="169" fillId="57" borderId="16" xfId="0" applyNumberFormat="1" applyFont="1" applyFill="1" applyBorder="1" applyAlignment="1">
      <alignment vertical="center"/>
    </xf>
    <xf numFmtId="0" fontId="171" fillId="57" borderId="16" xfId="0" applyFont="1" applyFill="1" applyBorder="1" applyAlignment="1">
      <alignment horizontal="center" vertical="center"/>
    </xf>
    <xf numFmtId="0" fontId="170" fillId="57" borderId="16" xfId="0" applyFont="1" applyFill="1" applyBorder="1" applyAlignment="1">
      <alignment horizontal="center" vertical="center"/>
    </xf>
    <xf numFmtId="0" fontId="170" fillId="57" borderId="16" xfId="0" applyFont="1" applyFill="1" applyBorder="1" applyAlignment="1">
      <alignment vertical="center"/>
    </xf>
    <xf numFmtId="0" fontId="170" fillId="0" borderId="0" xfId="0" applyFont="1" applyAlignment="1">
      <alignment vertical="center"/>
    </xf>
    <xf numFmtId="0" fontId="169" fillId="0" borderId="16" xfId="0" applyNumberFormat="1" applyFont="1" applyBorder="1" applyAlignment="1">
      <alignment vertical="center" wrapText="1"/>
    </xf>
    <xf numFmtId="0" fontId="169" fillId="0" borderId="16" xfId="0" applyNumberFormat="1" applyFont="1" applyBorder="1" applyAlignment="1">
      <alignment horizontal="center" vertical="center"/>
    </xf>
    <xf numFmtId="3" fontId="169" fillId="0" borderId="16" xfId="1706" applyNumberFormat="1" applyFont="1" applyFill="1" applyBorder="1" applyAlignment="1">
      <alignment horizontal="center" vertical="center"/>
    </xf>
    <xf numFmtId="3" fontId="169" fillId="0" borderId="16" xfId="0" applyNumberFormat="1" applyFont="1" applyBorder="1" applyAlignment="1">
      <alignment horizontal="center" vertical="center"/>
    </xf>
    <xf numFmtId="166" fontId="169" fillId="0" borderId="16" xfId="0" applyNumberFormat="1" applyFont="1" applyFill="1" applyBorder="1" applyAlignment="1">
      <alignment horizontal="center" vertical="center"/>
    </xf>
    <xf numFmtId="0" fontId="169" fillId="0" borderId="0" xfId="0" applyFont="1" applyAlignment="1">
      <alignment vertical="center"/>
    </xf>
    <xf numFmtId="0" fontId="61" fillId="0" borderId="16" xfId="0" applyNumberFormat="1" applyFont="1" applyBorder="1" applyAlignment="1">
      <alignment vertical="center"/>
    </xf>
    <xf numFmtId="3" fontId="61" fillId="0" borderId="16" xfId="1706" applyNumberFormat="1" applyFont="1" applyFill="1" applyBorder="1" applyAlignment="1">
      <alignment horizontal="center" vertical="center"/>
    </xf>
    <xf numFmtId="3" fontId="61" fillId="0" borderId="16" xfId="0" applyNumberFormat="1" applyFont="1" applyBorder="1" applyAlignment="1">
      <alignment horizontal="center" vertical="center"/>
    </xf>
    <xf numFmtId="3" fontId="61" fillId="0" borderId="16" xfId="0" applyNumberFormat="1" applyFont="1" applyFill="1" applyBorder="1" applyAlignment="1">
      <alignment horizontal="center" vertical="center"/>
    </xf>
    <xf numFmtId="0" fontId="169" fillId="0" borderId="16" xfId="0" applyNumberFormat="1" applyFont="1" applyFill="1" applyBorder="1" applyAlignment="1">
      <alignment vertical="center"/>
    </xf>
    <xf numFmtId="167" fontId="169" fillId="0" borderId="16" xfId="0" applyNumberFormat="1" applyFont="1" applyFill="1" applyBorder="1" applyAlignment="1">
      <alignment horizontal="center" vertical="center"/>
    </xf>
    <xf numFmtId="0" fontId="169" fillId="0" borderId="16" xfId="0" applyNumberFormat="1" applyFont="1" applyBorder="1" applyAlignment="1">
      <alignment vertical="center"/>
    </xf>
    <xf numFmtId="0" fontId="61" fillId="0" borderId="16" xfId="0" applyFont="1" applyBorder="1" applyAlignment="1">
      <alignment horizontal="center" vertical="center"/>
    </xf>
    <xf numFmtId="167" fontId="169" fillId="0" borderId="16" xfId="0" applyNumberFormat="1" applyFont="1" applyBorder="1" applyAlignment="1">
      <alignment horizontal="center" vertical="center"/>
    </xf>
    <xf numFmtId="0" fontId="169" fillId="44" borderId="16" xfId="0" applyFont="1" applyFill="1" applyBorder="1" applyAlignment="1">
      <alignment horizontal="center" vertical="center"/>
    </xf>
    <xf numFmtId="0" fontId="169" fillId="44" borderId="16" xfId="0" applyNumberFormat="1" applyFont="1" applyFill="1" applyBorder="1" applyAlignment="1">
      <alignment vertical="center"/>
    </xf>
    <xf numFmtId="0" fontId="61" fillId="44" borderId="16" xfId="0" applyFont="1" applyFill="1" applyBorder="1" applyAlignment="1">
      <alignment horizontal="center" vertical="center"/>
    </xf>
    <xf numFmtId="0" fontId="61" fillId="44" borderId="16" xfId="0" applyFont="1" applyFill="1" applyBorder="1" applyAlignment="1">
      <alignment horizontal="right" vertical="center"/>
    </xf>
    <xf numFmtId="167" fontId="61" fillId="44" borderId="16" xfId="0" applyNumberFormat="1" applyFont="1" applyFill="1" applyBorder="1" applyAlignment="1">
      <alignment horizontal="center" vertical="center"/>
    </xf>
    <xf numFmtId="0" fontId="169" fillId="44" borderId="16" xfId="0" applyFont="1" applyFill="1" applyBorder="1" applyAlignment="1">
      <alignment horizontal="center" vertical="center" wrapText="1"/>
    </xf>
    <xf numFmtId="0" fontId="61" fillId="44" borderId="16" xfId="0" applyFont="1" applyFill="1" applyBorder="1" applyAlignment="1">
      <alignment horizontal="center" vertical="center" wrapText="1"/>
    </xf>
    <xf numFmtId="3" fontId="61" fillId="64" borderId="16" xfId="1059" applyNumberFormat="1" applyFont="1" applyFill="1" applyBorder="1" applyAlignment="1">
      <alignment horizontal="center" vertical="center"/>
    </xf>
    <xf numFmtId="3" fontId="61" fillId="64" borderId="16" xfId="1059" applyNumberFormat="1" applyFont="1" applyFill="1" applyBorder="1" applyAlignment="1">
      <alignment horizontal="center" vertical="center" wrapText="1"/>
    </xf>
    <xf numFmtId="167" fontId="61" fillId="64" borderId="16" xfId="1059" applyNumberFormat="1" applyFont="1" applyFill="1" applyBorder="1" applyAlignment="1">
      <alignment horizontal="center" vertical="center" wrapText="1"/>
    </xf>
    <xf numFmtId="167" fontId="61" fillId="64" borderId="16" xfId="1059" applyNumberFormat="1" applyFont="1" applyFill="1" applyBorder="1" applyAlignment="1">
      <alignment horizontal="center" vertical="center"/>
    </xf>
    <xf numFmtId="167" fontId="61" fillId="0" borderId="16" xfId="0" applyNumberFormat="1" applyFont="1" applyFill="1" applyBorder="1" applyAlignment="1">
      <alignment horizontal="center" vertical="center"/>
    </xf>
    <xf numFmtId="0" fontId="170" fillId="0" borderId="16" xfId="0" applyNumberFormat="1" applyFont="1" applyFill="1" applyBorder="1" applyAlignment="1">
      <alignment vertical="center"/>
    </xf>
    <xf numFmtId="0" fontId="170" fillId="64" borderId="16" xfId="0" applyFont="1" applyFill="1" applyBorder="1" applyAlignment="1">
      <alignment horizontal="center" vertical="center"/>
    </xf>
    <xf numFmtId="3" fontId="61" fillId="64" borderId="16" xfId="0" applyNumberFormat="1" applyFont="1" applyFill="1" applyBorder="1" applyAlignment="1">
      <alignment horizontal="center" vertical="top" wrapText="1"/>
    </xf>
    <xf numFmtId="3" fontId="61" fillId="64" borderId="16" xfId="0" applyNumberFormat="1" applyFont="1" applyFill="1" applyBorder="1" applyAlignment="1">
      <alignment horizontal="center" vertical="center"/>
    </xf>
    <xf numFmtId="167" fontId="61" fillId="64" borderId="16" xfId="0" applyNumberFormat="1" applyFont="1" applyFill="1" applyBorder="1" applyAlignment="1">
      <alignment horizontal="center" vertical="center"/>
    </xf>
    <xf numFmtId="167" fontId="61" fillId="64" borderId="16" xfId="0" applyNumberFormat="1" applyFont="1" applyFill="1" applyBorder="1" applyAlignment="1">
      <alignment horizontal="center"/>
    </xf>
    <xf numFmtId="0" fontId="61" fillId="64" borderId="0" xfId="0" applyFont="1" applyFill="1"/>
    <xf numFmtId="0" fontId="169" fillId="64" borderId="16" xfId="0" applyFont="1" applyFill="1" applyBorder="1" applyAlignment="1">
      <alignment horizontal="center" vertical="center"/>
    </xf>
    <xf numFmtId="0" fontId="61" fillId="64" borderId="16" xfId="0" applyFont="1" applyFill="1" applyBorder="1" applyAlignment="1">
      <alignment horizontal="center" vertical="center" wrapText="1"/>
    </xf>
    <xf numFmtId="167" fontId="61" fillId="64" borderId="16" xfId="1614" applyNumberFormat="1" applyFont="1" applyFill="1" applyBorder="1" applyAlignment="1">
      <alignment horizontal="center" vertical="center"/>
    </xf>
    <xf numFmtId="167" fontId="61" fillId="64" borderId="16" xfId="1015" applyNumberFormat="1" applyFont="1" applyFill="1" applyBorder="1" applyAlignment="1">
      <alignment horizontal="center" vertical="center"/>
    </xf>
    <xf numFmtId="3" fontId="170" fillId="64" borderId="16" xfId="1059" applyNumberFormat="1" applyFont="1" applyFill="1" applyBorder="1" applyAlignment="1">
      <alignment horizontal="center" vertical="center" wrapText="1"/>
    </xf>
    <xf numFmtId="3" fontId="61" fillId="64" borderId="16" xfId="1695" applyNumberFormat="1" applyFont="1" applyFill="1" applyBorder="1" applyAlignment="1">
      <alignment horizontal="center" vertical="center"/>
    </xf>
    <xf numFmtId="0" fontId="61" fillId="64" borderId="16" xfId="0" applyFont="1" applyFill="1" applyBorder="1" applyAlignment="1">
      <alignment horizontal="center" vertical="center"/>
    </xf>
    <xf numFmtId="167" fontId="61" fillId="64" borderId="16" xfId="1052" applyNumberFormat="1" applyFont="1" applyFill="1" applyBorder="1" applyAlignment="1">
      <alignment horizontal="center" vertical="center"/>
    </xf>
    <xf numFmtId="0" fontId="170" fillId="64" borderId="16" xfId="1695" applyFont="1" applyFill="1" applyBorder="1" applyAlignment="1">
      <alignment horizontal="center" vertical="center"/>
    </xf>
    <xf numFmtId="0" fontId="61" fillId="64" borderId="16" xfId="1695" applyFont="1" applyFill="1" applyBorder="1" applyAlignment="1">
      <alignment horizontal="center" vertical="center"/>
    </xf>
    <xf numFmtId="0" fontId="169" fillId="64" borderId="16" xfId="1695" applyFont="1" applyFill="1" applyBorder="1" applyAlignment="1">
      <alignment horizontal="center" vertical="center"/>
    </xf>
    <xf numFmtId="3" fontId="61" fillId="64" borderId="16" xfId="913" applyNumberFormat="1" applyFont="1" applyFill="1" applyBorder="1" applyAlignment="1">
      <alignment horizontal="center" vertical="center"/>
    </xf>
    <xf numFmtId="166" fontId="61" fillId="64" borderId="16" xfId="1614" applyNumberFormat="1" applyFont="1" applyFill="1" applyBorder="1" applyAlignment="1">
      <alignment horizontal="center" vertical="center"/>
    </xf>
    <xf numFmtId="0" fontId="61" fillId="64" borderId="16" xfId="0" applyFont="1" applyFill="1" applyBorder="1" applyAlignment="1">
      <alignment horizontal="center"/>
    </xf>
    <xf numFmtId="0" fontId="169" fillId="44" borderId="16" xfId="0" applyFont="1" applyFill="1" applyBorder="1" applyAlignment="1">
      <alignment vertical="center" wrapText="1"/>
    </xf>
    <xf numFmtId="167" fontId="170" fillId="0" borderId="16" xfId="0" applyNumberFormat="1" applyFont="1" applyFill="1" applyBorder="1" applyAlignment="1">
      <alignment horizontal="center" vertical="center"/>
    </xf>
    <xf numFmtId="0" fontId="170" fillId="64" borderId="16" xfId="0" applyFont="1" applyFill="1" applyBorder="1" applyAlignment="1">
      <alignment horizontal="center" vertical="center" wrapText="1"/>
    </xf>
    <xf numFmtId="0" fontId="170" fillId="64" borderId="16" xfId="0" applyFont="1" applyFill="1" applyBorder="1" applyAlignment="1">
      <alignment vertical="center" wrapText="1"/>
    </xf>
    <xf numFmtId="3" fontId="61" fillId="64" borderId="16" xfId="1641" applyNumberFormat="1" applyFont="1" applyFill="1" applyBorder="1" applyAlignment="1">
      <alignment horizontal="center" vertical="center" wrapText="1"/>
    </xf>
    <xf numFmtId="0" fontId="61" fillId="64" borderId="16" xfId="1614" applyFont="1" applyFill="1" applyBorder="1" applyAlignment="1">
      <alignment horizontal="right" vertical="center"/>
    </xf>
    <xf numFmtId="2" fontId="61" fillId="64" borderId="16" xfId="1614" applyNumberFormat="1" applyFont="1" applyFill="1" applyBorder="1" applyAlignment="1">
      <alignment horizontal="right" vertical="center"/>
    </xf>
    <xf numFmtId="0" fontId="169" fillId="64" borderId="16" xfId="0" applyFont="1" applyFill="1" applyBorder="1" applyAlignment="1">
      <alignment horizontal="center" vertical="center" wrapText="1"/>
    </xf>
    <xf numFmtId="0" fontId="171" fillId="64" borderId="16" xfId="0" applyFont="1" applyFill="1" applyBorder="1" applyAlignment="1">
      <alignment horizontal="center" vertical="center" wrapText="1"/>
    </xf>
    <xf numFmtId="0" fontId="171" fillId="64" borderId="16" xfId="0" applyFont="1" applyFill="1" applyBorder="1" applyAlignment="1">
      <alignment vertical="center" wrapText="1"/>
    </xf>
    <xf numFmtId="167" fontId="169" fillId="64" borderId="16" xfId="913" applyNumberFormat="1" applyFont="1" applyFill="1" applyBorder="1" applyAlignment="1">
      <alignment horizontal="center" vertical="center" wrapText="1"/>
    </xf>
    <xf numFmtId="167" fontId="169" fillId="64" borderId="16" xfId="1614" applyNumberFormat="1" applyFont="1" applyFill="1" applyBorder="1" applyAlignment="1">
      <alignment horizontal="center" vertical="center"/>
    </xf>
    <xf numFmtId="0" fontId="61" fillId="64" borderId="16" xfId="0" applyFont="1" applyFill="1" applyBorder="1" applyAlignment="1">
      <alignment horizontal="left" vertical="center" wrapText="1"/>
    </xf>
    <xf numFmtId="167" fontId="61" fillId="64" borderId="16" xfId="1614" applyNumberFormat="1" applyFont="1" applyFill="1" applyBorder="1" applyAlignment="1">
      <alignment horizontal="center" vertical="center" wrapText="1"/>
    </xf>
    <xf numFmtId="167" fontId="61" fillId="64" borderId="16" xfId="913" applyNumberFormat="1" applyFont="1" applyFill="1" applyBorder="1" applyAlignment="1">
      <alignment horizontal="center" vertical="center" wrapText="1"/>
    </xf>
    <xf numFmtId="0" fontId="61" fillId="64" borderId="16" xfId="0" applyFont="1" applyFill="1" applyBorder="1" applyAlignment="1">
      <alignment vertical="center" wrapText="1"/>
    </xf>
    <xf numFmtId="3" fontId="61" fillId="64" borderId="16" xfId="1614" applyNumberFormat="1" applyFont="1" applyFill="1" applyBorder="1" applyAlignment="1">
      <alignment horizontal="center" vertical="center" wrapText="1"/>
    </xf>
    <xf numFmtId="3" fontId="61" fillId="64" borderId="16" xfId="913" applyNumberFormat="1" applyFont="1" applyFill="1" applyBorder="1" applyAlignment="1">
      <alignment horizontal="center" vertical="center" wrapText="1"/>
    </xf>
    <xf numFmtId="167" fontId="169" fillId="64" borderId="16" xfId="913" applyNumberFormat="1" applyFont="1" applyFill="1" applyBorder="1" applyAlignment="1">
      <alignment horizontal="center" vertical="center"/>
    </xf>
    <xf numFmtId="167" fontId="61" fillId="64" borderId="16" xfId="913" applyNumberFormat="1" applyFont="1" applyFill="1" applyBorder="1" applyAlignment="1">
      <alignment horizontal="center" vertical="center"/>
    </xf>
    <xf numFmtId="0" fontId="169" fillId="64" borderId="16" xfId="0" applyFont="1" applyFill="1" applyBorder="1" applyAlignment="1">
      <alignment vertical="center" wrapText="1"/>
    </xf>
    <xf numFmtId="0" fontId="172" fillId="64" borderId="0" xfId="0" applyFont="1" applyFill="1" applyAlignment="1">
      <alignment vertical="center"/>
    </xf>
    <xf numFmtId="0" fontId="169" fillId="64" borderId="0" xfId="0" applyFont="1" applyFill="1"/>
    <xf numFmtId="0" fontId="171" fillId="64" borderId="0" xfId="0" applyFont="1" applyFill="1"/>
    <xf numFmtId="0" fontId="171" fillId="64" borderId="16" xfId="0" applyFont="1" applyFill="1" applyBorder="1" applyAlignment="1">
      <alignment horizontal="center" vertical="center"/>
    </xf>
    <xf numFmtId="3" fontId="169" fillId="64" borderId="16" xfId="0" applyNumberFormat="1" applyFont="1" applyFill="1" applyBorder="1" applyAlignment="1">
      <alignment horizontal="center" vertical="center"/>
    </xf>
    <xf numFmtId="0" fontId="173" fillId="64" borderId="16" xfId="0" applyFont="1" applyFill="1" applyBorder="1" applyAlignment="1">
      <alignment horizontal="center" vertical="center"/>
    </xf>
    <xf numFmtId="0" fontId="173" fillId="64" borderId="0" xfId="0" applyFont="1" applyFill="1" applyAlignment="1">
      <alignment vertical="center"/>
    </xf>
    <xf numFmtId="0" fontId="61" fillId="64" borderId="16" xfId="0" quotePrefix="1" applyFont="1" applyFill="1" applyBorder="1" applyAlignment="1">
      <alignment horizontal="left" vertical="center" wrapText="1"/>
    </xf>
    <xf numFmtId="0" fontId="169" fillId="57" borderId="16" xfId="0" applyNumberFormat="1" applyFont="1" applyFill="1" applyBorder="1" applyAlignment="1">
      <alignment vertical="center" wrapText="1"/>
    </xf>
    <xf numFmtId="0" fontId="61" fillId="57" borderId="16" xfId="0" applyFont="1" applyFill="1" applyBorder="1" applyAlignment="1">
      <alignment horizontal="center" vertical="center"/>
    </xf>
    <xf numFmtId="167" fontId="61" fillId="57" borderId="16" xfId="0" applyNumberFormat="1" applyFont="1" applyFill="1" applyBorder="1" applyAlignment="1">
      <alignment horizontal="center" vertical="center"/>
    </xf>
    <xf numFmtId="0" fontId="169" fillId="0" borderId="16" xfId="0" applyNumberFormat="1" applyFont="1" applyFill="1" applyBorder="1" applyAlignment="1">
      <alignment vertical="center" wrapText="1"/>
    </xf>
    <xf numFmtId="3" fontId="169" fillId="0" borderId="16" xfId="0" applyNumberFormat="1" applyFont="1" applyFill="1" applyBorder="1" applyAlignment="1">
      <alignment horizontal="center" vertical="center"/>
    </xf>
    <xf numFmtId="0" fontId="169" fillId="0" borderId="16" xfId="0" applyNumberFormat="1" applyFont="1" applyBorder="1" applyAlignment="1">
      <alignment horizontal="left" vertical="center"/>
    </xf>
    <xf numFmtId="166" fontId="61" fillId="44" borderId="16" xfId="0" applyNumberFormat="1" applyFont="1" applyFill="1" applyBorder="1" applyAlignment="1">
      <alignment horizontal="center" vertical="center"/>
    </xf>
    <xf numFmtId="0" fontId="170" fillId="0" borderId="16" xfId="0" applyFont="1" applyBorder="1" applyAlignment="1">
      <alignment horizontal="center" vertical="center"/>
    </xf>
    <xf numFmtId="0" fontId="170" fillId="0" borderId="16" xfId="0" applyNumberFormat="1" applyFont="1" applyFill="1" applyBorder="1" applyAlignment="1">
      <alignment vertical="center" wrapText="1"/>
    </xf>
    <xf numFmtId="167" fontId="170" fillId="0" borderId="16" xfId="0" quotePrefix="1" applyNumberFormat="1" applyFont="1" applyFill="1" applyBorder="1" applyAlignment="1">
      <alignment horizontal="center" vertical="center"/>
    </xf>
    <xf numFmtId="167" fontId="61" fillId="44" borderId="16" xfId="0" quotePrefix="1" applyNumberFormat="1" applyFont="1" applyFill="1" applyBorder="1" applyAlignment="1">
      <alignment horizontal="center" vertical="center"/>
    </xf>
    <xf numFmtId="166" fontId="61" fillId="44" borderId="16" xfId="0" quotePrefix="1" applyNumberFormat="1" applyFont="1" applyFill="1" applyBorder="1" applyAlignment="1">
      <alignment horizontal="center" vertical="center"/>
    </xf>
    <xf numFmtId="0" fontId="61" fillId="0" borderId="16" xfId="0" quotePrefix="1" applyNumberFormat="1" applyFont="1" applyBorder="1" applyAlignment="1">
      <alignment vertical="center" wrapText="1"/>
    </xf>
    <xf numFmtId="0" fontId="171" fillId="0" borderId="16" xfId="0" applyFont="1" applyBorder="1" applyAlignment="1">
      <alignment horizontal="center" vertical="center"/>
    </xf>
    <xf numFmtId="167" fontId="61" fillId="0" borderId="16" xfId="0" quotePrefix="1" applyNumberFormat="1" applyFont="1" applyFill="1" applyBorder="1" applyAlignment="1">
      <alignment horizontal="center" vertical="center"/>
    </xf>
    <xf numFmtId="0" fontId="171" fillId="0" borderId="0" xfId="0" applyFont="1" applyAlignment="1">
      <alignment vertical="center"/>
    </xf>
    <xf numFmtId="0" fontId="170" fillId="0" borderId="16" xfId="0" applyNumberFormat="1" applyFont="1" applyBorder="1" applyAlignment="1">
      <alignment vertical="center"/>
    </xf>
    <xf numFmtId="0" fontId="170" fillId="0" borderId="16" xfId="0" applyNumberFormat="1" applyFont="1" applyBorder="1" applyAlignment="1">
      <alignment horizontal="center" vertical="center"/>
    </xf>
    <xf numFmtId="3" fontId="170" fillId="64" borderId="16" xfId="0" applyNumberFormat="1" applyFont="1" applyFill="1" applyBorder="1" applyAlignment="1">
      <alignment horizontal="center" vertical="center" wrapText="1"/>
    </xf>
    <xf numFmtId="0" fontId="171" fillId="0" borderId="16" xfId="0" applyNumberFormat="1" applyFont="1" applyBorder="1" applyAlignment="1">
      <alignment vertical="center"/>
    </xf>
    <xf numFmtId="3" fontId="61" fillId="0" borderId="16" xfId="1059" applyNumberFormat="1" applyFont="1" applyBorder="1" applyAlignment="1">
      <alignment horizontal="center" vertical="center" wrapText="1"/>
    </xf>
    <xf numFmtId="3" fontId="61" fillId="64" borderId="16" xfId="0" applyNumberFormat="1" applyFont="1" applyFill="1" applyBorder="1" applyAlignment="1">
      <alignment horizontal="center" vertical="center" wrapText="1"/>
    </xf>
    <xf numFmtId="3" fontId="61" fillId="0" borderId="16" xfId="1054" applyNumberFormat="1" applyFont="1" applyBorder="1" applyAlignment="1">
      <alignment horizontal="center" vertical="center" wrapText="1"/>
    </xf>
    <xf numFmtId="3" fontId="61" fillId="64" borderId="16" xfId="1054" applyNumberFormat="1" applyFont="1" applyFill="1" applyBorder="1" applyAlignment="1">
      <alignment horizontal="center" vertical="center" wrapText="1"/>
    </xf>
    <xf numFmtId="0" fontId="171" fillId="0" borderId="16" xfId="0" applyNumberFormat="1" applyFont="1" applyBorder="1" applyAlignment="1">
      <alignment horizontal="center" vertical="center"/>
    </xf>
    <xf numFmtId="3" fontId="170" fillId="0" borderId="16" xfId="1054" applyNumberFormat="1" applyFont="1" applyBorder="1" applyAlignment="1">
      <alignment horizontal="center" vertical="center" wrapText="1"/>
    </xf>
    <xf numFmtId="3" fontId="170" fillId="64" borderId="16" xfId="1054" applyNumberFormat="1" applyFont="1" applyFill="1" applyBorder="1" applyAlignment="1">
      <alignment horizontal="center" vertical="center" wrapText="1"/>
    </xf>
    <xf numFmtId="0" fontId="61" fillId="0" borderId="16" xfId="0" quotePrefix="1" applyNumberFormat="1" applyFont="1" applyBorder="1" applyAlignment="1">
      <alignment vertical="center"/>
    </xf>
    <xf numFmtId="3" fontId="61" fillId="0" borderId="16" xfId="913" applyNumberFormat="1" applyFont="1" applyFill="1" applyBorder="1" applyAlignment="1">
      <alignment horizontal="center" vertical="center"/>
    </xf>
    <xf numFmtId="3" fontId="61" fillId="0" borderId="16" xfId="1054" applyNumberFormat="1" applyFont="1" applyFill="1" applyBorder="1" applyAlignment="1">
      <alignment horizontal="center" vertical="center" wrapText="1"/>
    </xf>
    <xf numFmtId="37" fontId="170" fillId="0" borderId="16" xfId="1054" applyNumberFormat="1" applyFont="1" applyBorder="1" applyAlignment="1">
      <alignment horizontal="center" vertical="center" wrapText="1"/>
    </xf>
    <xf numFmtId="37" fontId="61" fillId="0" borderId="16" xfId="1054" applyNumberFormat="1" applyFont="1" applyBorder="1" applyAlignment="1">
      <alignment horizontal="center" vertical="center" wrapText="1"/>
    </xf>
    <xf numFmtId="37" fontId="61" fillId="64" borderId="16" xfId="1054" applyNumberFormat="1" applyFont="1" applyFill="1" applyBorder="1" applyAlignment="1">
      <alignment horizontal="center" vertical="center" wrapText="1"/>
    </xf>
    <xf numFmtId="0" fontId="171" fillId="0" borderId="16" xfId="0" applyFont="1" applyFill="1" applyBorder="1" applyAlignment="1">
      <alignment horizontal="center" vertical="center"/>
    </xf>
    <xf numFmtId="0" fontId="61" fillId="0" borderId="16" xfId="0" applyNumberFormat="1" applyFont="1" applyFill="1" applyBorder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169" fillId="0" borderId="16" xfId="0" applyFont="1" applyFill="1" applyBorder="1" applyAlignment="1">
      <alignment horizontal="center" vertical="center"/>
    </xf>
    <xf numFmtId="0" fontId="169" fillId="0" borderId="16" xfId="0" quotePrefix="1" applyFont="1" applyFill="1" applyBorder="1" applyAlignment="1">
      <alignment horizontal="center" vertical="center"/>
    </xf>
    <xf numFmtId="0" fontId="169" fillId="0" borderId="16" xfId="0" applyNumberFormat="1" applyFont="1" applyBorder="1" applyAlignment="1">
      <alignment horizontal="justify" vertical="center" wrapText="1"/>
    </xf>
    <xf numFmtId="0" fontId="61" fillId="0" borderId="16" xfId="0" applyFont="1" applyBorder="1" applyAlignment="1">
      <alignment vertical="center" wrapText="1"/>
    </xf>
    <xf numFmtId="0" fontId="61" fillId="0" borderId="16" xfId="1707" applyFont="1" applyBorder="1" applyAlignment="1">
      <alignment horizontal="center" vertical="center"/>
    </xf>
    <xf numFmtId="0" fontId="61" fillId="0" borderId="16" xfId="1707" applyNumberFormat="1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61" fillId="0" borderId="16" xfId="1707" applyNumberFormat="1" applyFont="1" applyBorder="1" applyAlignment="1">
      <alignment vertical="center"/>
    </xf>
    <xf numFmtId="0" fontId="169" fillId="57" borderId="16" xfId="0" applyNumberFormat="1" applyFont="1" applyFill="1" applyBorder="1" applyAlignment="1">
      <alignment horizontal="left" vertical="center"/>
    </xf>
    <xf numFmtId="167" fontId="169" fillId="57" borderId="16" xfId="0" applyNumberFormat="1" applyFont="1" applyFill="1" applyBorder="1" applyAlignment="1">
      <alignment horizontal="center" vertical="center"/>
    </xf>
    <xf numFmtId="166" fontId="61" fillId="57" borderId="16" xfId="0" applyNumberFormat="1" applyFont="1" applyFill="1" applyBorder="1" applyAlignment="1">
      <alignment horizontal="center" vertical="center"/>
    </xf>
    <xf numFmtId="0" fontId="169" fillId="0" borderId="0" xfId="0" applyFont="1" applyAlignment="1">
      <alignment horizontal="left" vertical="center"/>
    </xf>
    <xf numFmtId="0" fontId="169" fillId="0" borderId="16" xfId="0" applyNumberFormat="1" applyFont="1" applyFill="1" applyBorder="1" applyAlignment="1">
      <alignment horizontal="left" vertical="center"/>
    </xf>
    <xf numFmtId="0" fontId="61" fillId="0" borderId="16" xfId="0" applyFont="1" applyFill="1" applyBorder="1" applyAlignment="1">
      <alignment horizontal="center" vertical="center"/>
    </xf>
    <xf numFmtId="0" fontId="169" fillId="0" borderId="0" xfId="0" applyFont="1" applyFill="1" applyAlignment="1">
      <alignment horizontal="left" vertical="center"/>
    </xf>
    <xf numFmtId="0" fontId="61" fillId="0" borderId="16" xfId="0" applyNumberFormat="1" applyFont="1" applyFill="1" applyBorder="1" applyAlignment="1">
      <alignment horizontal="left" vertical="center"/>
    </xf>
    <xf numFmtId="0" fontId="61" fillId="0" borderId="0" xfId="0" applyFont="1" applyFill="1" applyAlignment="1">
      <alignment horizontal="left" vertical="center"/>
    </xf>
    <xf numFmtId="0" fontId="169" fillId="0" borderId="16" xfId="0" applyNumberFormat="1" applyFont="1" applyFill="1" applyBorder="1" applyAlignment="1">
      <alignment horizontal="center" vertical="center"/>
    </xf>
    <xf numFmtId="0" fontId="169" fillId="0" borderId="16" xfId="0" applyFont="1" applyBorder="1" applyAlignment="1">
      <alignment horizontal="left" vertical="center" wrapText="1"/>
    </xf>
    <xf numFmtId="3" fontId="169" fillId="0" borderId="16" xfId="0" applyNumberFormat="1" applyFont="1" applyBorder="1" applyAlignment="1">
      <alignment horizontal="center" vertical="center" wrapText="1"/>
    </xf>
    <xf numFmtId="0" fontId="61" fillId="0" borderId="16" xfId="0" applyFont="1" applyBorder="1" applyAlignment="1">
      <alignment horizontal="left" vertical="center" wrapText="1"/>
    </xf>
    <xf numFmtId="3" fontId="61" fillId="0" borderId="16" xfId="913" applyNumberFormat="1" applyFont="1" applyBorder="1" applyAlignment="1">
      <alignment horizontal="center" vertical="center" wrapText="1"/>
    </xf>
    <xf numFmtId="3" fontId="61" fillId="0" borderId="16" xfId="913" applyNumberFormat="1" applyFont="1" applyBorder="1" applyAlignment="1">
      <alignment horizontal="center" vertical="center"/>
    </xf>
    <xf numFmtId="0" fontId="169" fillId="57" borderId="16" xfId="1704" applyFont="1" applyFill="1" applyBorder="1" applyAlignment="1">
      <alignment horizontal="center" vertical="center"/>
    </xf>
    <xf numFmtId="0" fontId="169" fillId="57" borderId="16" xfId="1704" applyFont="1" applyFill="1" applyBorder="1" applyAlignment="1">
      <alignment vertical="center" wrapText="1"/>
    </xf>
    <xf numFmtId="0" fontId="61" fillId="57" borderId="16" xfId="1704" applyFont="1" applyFill="1" applyBorder="1" applyAlignment="1">
      <alignment horizontal="center" vertical="center"/>
    </xf>
    <xf numFmtId="0" fontId="61" fillId="57" borderId="16" xfId="1704" applyFont="1" applyFill="1" applyBorder="1" applyAlignment="1">
      <alignment vertical="center"/>
    </xf>
    <xf numFmtId="0" fontId="61" fillId="0" borderId="0" xfId="1704" applyFont="1" applyAlignment="1">
      <alignment vertical="center"/>
    </xf>
    <xf numFmtId="0" fontId="169" fillId="0" borderId="16" xfId="1704" applyFont="1" applyBorder="1" applyAlignment="1">
      <alignment horizontal="center" vertical="center" wrapText="1"/>
    </xf>
    <xf numFmtId="3" fontId="169" fillId="0" borderId="16" xfId="1704" applyNumberFormat="1" applyFont="1" applyBorder="1" applyAlignment="1">
      <alignment horizontal="center" vertical="center"/>
    </xf>
    <xf numFmtId="167" fontId="169" fillId="0" borderId="16" xfId="1704" applyNumberFormat="1" applyFont="1" applyBorder="1" applyAlignment="1">
      <alignment horizontal="center" vertical="center"/>
    </xf>
    <xf numFmtId="0" fontId="169" fillId="0" borderId="16" xfId="1704" applyFont="1" applyBorder="1" applyAlignment="1">
      <alignment horizontal="center" vertical="center"/>
    </xf>
    <xf numFmtId="0" fontId="169" fillId="0" borderId="0" xfId="1704" applyFont="1" applyAlignment="1">
      <alignment vertical="center"/>
    </xf>
    <xf numFmtId="0" fontId="61" fillId="0" borderId="16" xfId="1704" quotePrefix="1" applyFont="1" applyBorder="1" applyAlignment="1">
      <alignment horizontal="center" vertical="center"/>
    </xf>
    <xf numFmtId="0" fontId="61" fillId="0" borderId="16" xfId="1704" applyFont="1" applyBorder="1" applyAlignment="1">
      <alignment vertical="center"/>
    </xf>
    <xf numFmtId="0" fontId="61" fillId="0" borderId="16" xfId="1704" applyFont="1" applyBorder="1" applyAlignment="1">
      <alignment horizontal="center" vertical="center"/>
    </xf>
    <xf numFmtId="167" fontId="169" fillId="0" borderId="16" xfId="1704" quotePrefix="1" applyNumberFormat="1" applyFont="1" applyBorder="1" applyAlignment="1">
      <alignment horizontal="center" vertical="center"/>
    </xf>
    <xf numFmtId="0" fontId="169" fillId="0" borderId="16" xfId="1704" quotePrefix="1" applyFont="1" applyBorder="1" applyAlignment="1">
      <alignment horizontal="center" vertical="center"/>
    </xf>
    <xf numFmtId="0" fontId="171" fillId="0" borderId="16" xfId="1704" applyFont="1" applyBorder="1" applyAlignment="1">
      <alignment vertical="center" wrapText="1"/>
    </xf>
    <xf numFmtId="167" fontId="61" fillId="0" borderId="16" xfId="1704" quotePrefix="1" applyNumberFormat="1" applyFont="1" applyBorder="1" applyAlignment="1">
      <alignment horizontal="center" vertical="center"/>
    </xf>
    <xf numFmtId="0" fontId="61" fillId="0" borderId="16" xfId="1704" applyFont="1" applyBorder="1" applyAlignment="1">
      <alignment vertical="center" wrapText="1"/>
    </xf>
    <xf numFmtId="3" fontId="61" fillId="0" borderId="16" xfId="1704" applyNumberFormat="1" applyFont="1" applyBorder="1" applyAlignment="1">
      <alignment horizontal="center" vertical="center"/>
    </xf>
    <xf numFmtId="0" fontId="169" fillId="0" borderId="16" xfId="1704" applyFont="1" applyBorder="1" applyAlignment="1">
      <alignment horizontal="left" vertical="center"/>
    </xf>
    <xf numFmtId="0" fontId="61" fillId="0" borderId="16" xfId="1704" applyFont="1" applyBorder="1" applyAlignment="1">
      <alignment horizontal="left" vertical="center"/>
    </xf>
    <xf numFmtId="0" fontId="61" fillId="0" borderId="16" xfId="1704" quotePrefix="1" applyFont="1" applyBorder="1" applyAlignment="1">
      <alignment horizontal="center" vertical="center" wrapText="1"/>
    </xf>
    <xf numFmtId="0" fontId="61" fillId="0" borderId="16" xfId="1704" applyFont="1" applyFill="1" applyBorder="1" applyAlignment="1">
      <alignment vertical="center" wrapText="1"/>
    </xf>
    <xf numFmtId="0" fontId="171" fillId="0" borderId="16" xfId="0" applyFont="1" applyBorder="1" applyAlignment="1">
      <alignment horizontal="center" vertical="center" wrapText="1"/>
    </xf>
    <xf numFmtId="0" fontId="171" fillId="0" borderId="16" xfId="1704" applyFont="1" applyFill="1" applyBorder="1" applyAlignment="1">
      <alignment horizontal="left" vertical="center" wrapText="1"/>
    </xf>
    <xf numFmtId="0" fontId="171" fillId="0" borderId="16" xfId="1704" applyFont="1" applyFill="1" applyBorder="1" applyAlignment="1">
      <alignment horizontal="center" vertical="center"/>
    </xf>
    <xf numFmtId="3" fontId="171" fillId="0" borderId="16" xfId="1704" applyNumberFormat="1" applyFont="1" applyBorder="1" applyAlignment="1">
      <alignment horizontal="center" vertical="center"/>
    </xf>
    <xf numFmtId="166" fontId="171" fillId="0" borderId="16" xfId="0" applyNumberFormat="1" applyFont="1" applyBorder="1" applyAlignment="1">
      <alignment horizontal="center" vertical="center" wrapText="1"/>
    </xf>
    <xf numFmtId="0" fontId="61" fillId="0" borderId="16" xfId="1704" applyFont="1" applyFill="1" applyBorder="1" applyAlignment="1">
      <alignment horizontal="center" vertical="center"/>
    </xf>
    <xf numFmtId="166" fontId="61" fillId="0" borderId="16" xfId="0" applyNumberFormat="1" applyFont="1" applyBorder="1" applyAlignment="1">
      <alignment horizontal="center" vertical="center" wrapText="1"/>
    </xf>
    <xf numFmtId="0" fontId="61" fillId="0" borderId="16" xfId="0" quotePrefix="1" applyFont="1" applyBorder="1" applyAlignment="1">
      <alignment horizontal="center" vertical="center" wrapText="1"/>
    </xf>
    <xf numFmtId="0" fontId="61" fillId="0" borderId="16" xfId="1704" quotePrefix="1" applyFont="1" applyFill="1" applyBorder="1" applyAlignment="1">
      <alignment vertical="center" wrapText="1"/>
    </xf>
    <xf numFmtId="0" fontId="61" fillId="0" borderId="16" xfId="1704" applyFont="1" applyFill="1" applyBorder="1" applyAlignment="1">
      <alignment horizontal="center" vertical="center" wrapText="1"/>
    </xf>
    <xf numFmtId="0" fontId="61" fillId="0" borderId="16" xfId="1704" applyFont="1" applyFill="1" applyBorder="1" applyAlignment="1">
      <alignment horizontal="left" vertical="center" wrapText="1"/>
    </xf>
    <xf numFmtId="0" fontId="171" fillId="0" borderId="16" xfId="1704" applyFont="1" applyFill="1" applyBorder="1" applyAlignment="1">
      <alignment vertical="center"/>
    </xf>
    <xf numFmtId="0" fontId="171" fillId="0" borderId="16" xfId="0" applyFont="1" applyBorder="1" applyAlignment="1">
      <alignment horizontal="left" vertical="center" wrapText="1"/>
    </xf>
    <xf numFmtId="0" fontId="61" fillId="0" borderId="16" xfId="0" applyFont="1" applyBorder="1" applyAlignment="1">
      <alignment vertical="center"/>
    </xf>
    <xf numFmtId="4" fontId="61" fillId="0" borderId="16" xfId="0" applyNumberFormat="1" applyFont="1" applyBorder="1" applyAlignment="1">
      <alignment horizontal="center" vertical="center"/>
    </xf>
    <xf numFmtId="0" fontId="61" fillId="0" borderId="16" xfId="0" quotePrefix="1" applyFont="1" applyBorder="1" applyAlignment="1">
      <alignment horizontal="center" vertical="center"/>
    </xf>
    <xf numFmtId="166" fontId="61" fillId="0" borderId="16" xfId="0" applyNumberFormat="1" applyFont="1" applyBorder="1" applyAlignment="1">
      <alignment horizontal="center" vertical="center"/>
    </xf>
    <xf numFmtId="0" fontId="171" fillId="0" borderId="16" xfId="0" applyFont="1" applyBorder="1" applyAlignment="1">
      <alignment vertical="center"/>
    </xf>
    <xf numFmtId="0" fontId="171" fillId="0" borderId="16" xfId="0" quotePrefix="1" applyFont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1" fillId="0" borderId="1" xfId="0" applyFont="1" applyBorder="1" applyAlignment="1">
      <alignment horizontal="left" vertical="center"/>
    </xf>
    <xf numFmtId="0" fontId="161" fillId="0" borderId="1" xfId="0" applyFont="1" applyBorder="1" applyAlignment="1">
      <alignment horizontal="center" vertical="center"/>
    </xf>
    <xf numFmtId="0" fontId="161" fillId="0" borderId="1" xfId="0" applyFont="1" applyBorder="1" applyAlignment="1">
      <alignment vertical="center"/>
    </xf>
    <xf numFmtId="166" fontId="164" fillId="0" borderId="16" xfId="0" applyNumberFormat="1" applyFont="1" applyFill="1" applyBorder="1" applyAlignment="1">
      <alignment horizontal="center" vertical="center"/>
    </xf>
    <xf numFmtId="0" fontId="164" fillId="0" borderId="16" xfId="0" applyFont="1" applyFill="1" applyBorder="1" applyAlignment="1">
      <alignment horizontal="center" vertical="center"/>
    </xf>
    <xf numFmtId="0" fontId="164" fillId="0" borderId="16" xfId="0" applyNumberFormat="1" applyFont="1" applyFill="1" applyBorder="1" applyAlignment="1">
      <alignment vertical="center"/>
    </xf>
    <xf numFmtId="167" fontId="164" fillId="0" borderId="16" xfId="0" applyNumberFormat="1" applyFont="1" applyFill="1" applyBorder="1" applyAlignment="1">
      <alignment vertical="center"/>
    </xf>
    <xf numFmtId="0" fontId="164" fillId="0" borderId="0" xfId="0" applyFont="1" applyFill="1" applyAlignment="1">
      <alignment vertical="center"/>
    </xf>
    <xf numFmtId="3" fontId="161" fillId="0" borderId="16" xfId="0" quotePrefix="1" applyNumberFormat="1" applyFont="1" applyFill="1" applyBorder="1" applyAlignment="1">
      <alignment horizontal="center" vertical="center" wrapText="1"/>
    </xf>
    <xf numFmtId="166" fontId="161" fillId="44" borderId="16" xfId="0" applyNumberFormat="1" applyFont="1" applyFill="1" applyBorder="1" applyAlignment="1">
      <alignment horizontal="center" vertical="center" wrapText="1"/>
    </xf>
    <xf numFmtId="0" fontId="161" fillId="44" borderId="16" xfId="0" applyFont="1" applyFill="1" applyBorder="1" applyAlignment="1">
      <alignment horizontal="center" vertical="center" wrapText="1"/>
    </xf>
    <xf numFmtId="0" fontId="161" fillId="0" borderId="16" xfId="1705" applyNumberFormat="1" applyFont="1" applyBorder="1" applyAlignment="1">
      <alignment horizontal="left" vertical="center"/>
    </xf>
    <xf numFmtId="0" fontId="161" fillId="0" borderId="16" xfId="1710" applyNumberFormat="1" applyFont="1" applyFill="1" applyBorder="1" applyAlignment="1">
      <alignment horizontal="left" vertical="center"/>
    </xf>
    <xf numFmtId="166" fontId="161" fillId="0" borderId="16" xfId="1705" applyNumberFormat="1" applyFont="1" applyBorder="1" applyAlignment="1">
      <alignment horizontal="left" vertical="center"/>
    </xf>
    <xf numFmtId="166" fontId="161" fillId="0" borderId="16" xfId="1710" applyNumberFormat="1" applyFont="1" applyFill="1" applyBorder="1" applyAlignment="1">
      <alignment horizontal="left" vertical="center"/>
    </xf>
    <xf numFmtId="167" fontId="61" fillId="0" borderId="16" xfId="0" applyNumberFormat="1" applyFont="1" applyBorder="1" applyAlignment="1">
      <alignment horizontal="center" vertical="center"/>
    </xf>
    <xf numFmtId="0" fontId="174" fillId="0" borderId="0" xfId="2220" applyFont="1" applyAlignment="1">
      <alignment vertical="center"/>
    </xf>
    <xf numFmtId="0" fontId="22" fillId="0" borderId="0" xfId="2220" applyFont="1" applyAlignment="1">
      <alignment horizontal="right" vertical="center"/>
    </xf>
    <xf numFmtId="0" fontId="19" fillId="0" borderId="0" xfId="2220" applyAlignment="1">
      <alignment vertical="center"/>
    </xf>
    <xf numFmtId="0" fontId="19" fillId="0" borderId="0" xfId="2220" applyAlignment="1">
      <alignment vertical="center" wrapText="1"/>
    </xf>
    <xf numFmtId="3" fontId="23" fillId="0" borderId="16" xfId="0" applyNumberFormat="1" applyFont="1" applyBorder="1" applyAlignment="1">
      <alignment horizontal="center" vertical="center"/>
    </xf>
    <xf numFmtId="166" fontId="161" fillId="0" borderId="34" xfId="0" applyNumberFormat="1" applyFont="1" applyBorder="1" applyAlignment="1">
      <alignment horizontal="center" vertical="center"/>
    </xf>
    <xf numFmtId="3" fontId="161" fillId="0" borderId="34" xfId="0" applyNumberFormat="1" applyFont="1" applyBorder="1" applyAlignment="1">
      <alignment horizontal="center" vertical="center"/>
    </xf>
    <xf numFmtId="167" fontId="161" fillId="0" borderId="34" xfId="0" applyNumberFormat="1" applyFont="1" applyBorder="1" applyAlignment="1">
      <alignment horizontal="center" vertical="center"/>
    </xf>
    <xf numFmtId="0" fontId="161" fillId="0" borderId="34" xfId="0" applyFont="1" applyBorder="1" applyAlignment="1">
      <alignment horizontal="center" vertical="center"/>
    </xf>
    <xf numFmtId="2" fontId="161" fillId="0" borderId="34" xfId="0" applyNumberFormat="1" applyFont="1" applyBorder="1" applyAlignment="1">
      <alignment horizontal="center" vertical="center"/>
    </xf>
    <xf numFmtId="167" fontId="161" fillId="0" borderId="34" xfId="0" applyNumberFormat="1" applyFont="1" applyBorder="1" applyAlignment="1">
      <alignment horizontal="center" vertical="center" wrapText="1"/>
    </xf>
    <xf numFmtId="4" fontId="161" fillId="0" borderId="34" xfId="0" applyNumberFormat="1" applyFont="1" applyBorder="1" applyAlignment="1">
      <alignment horizontal="center" vertical="center" wrapText="1"/>
    </xf>
    <xf numFmtId="3" fontId="161" fillId="0" borderId="34" xfId="0" applyNumberFormat="1" applyFont="1" applyBorder="1" applyAlignment="1">
      <alignment horizontal="center" vertical="center" wrapText="1"/>
    </xf>
    <xf numFmtId="167" fontId="161" fillId="0" borderId="28" xfId="0" applyNumberFormat="1" applyFont="1" applyBorder="1" applyAlignment="1">
      <alignment horizontal="center" vertical="center"/>
    </xf>
    <xf numFmtId="167" fontId="161" fillId="0" borderId="35" xfId="0" applyNumberFormat="1" applyFont="1" applyBorder="1" applyAlignment="1">
      <alignment horizontal="center" vertical="center"/>
    </xf>
    <xf numFmtId="167" fontId="57" fillId="0" borderId="34" xfId="0" applyNumberFormat="1" applyFont="1" applyBorder="1" applyAlignment="1">
      <alignment horizontal="center" vertical="center"/>
    </xf>
    <xf numFmtId="3" fontId="61" fillId="0" borderId="0" xfId="0" applyNumberFormat="1" applyFont="1" applyAlignment="1">
      <alignment vertical="center"/>
    </xf>
    <xf numFmtId="3" fontId="61" fillId="0" borderId="16" xfId="1704" applyNumberFormat="1" applyFont="1" applyBorder="1" applyAlignment="1">
      <alignment horizontal="center" vertical="center" wrapText="1"/>
    </xf>
    <xf numFmtId="3" fontId="61" fillId="0" borderId="16" xfId="1704" quotePrefix="1" applyNumberFormat="1" applyFont="1" applyBorder="1" applyAlignment="1">
      <alignment horizontal="center" vertical="center"/>
    </xf>
    <xf numFmtId="3" fontId="61" fillId="0" borderId="16" xfId="1059" applyNumberFormat="1" applyFont="1" applyBorder="1" applyAlignment="1">
      <alignment horizontal="center" vertical="center"/>
    </xf>
    <xf numFmtId="167" fontId="61" fillId="0" borderId="16" xfId="1614" applyNumberFormat="1" applyFont="1" applyBorder="1" applyAlignment="1">
      <alignment horizontal="center" vertical="center"/>
    </xf>
    <xf numFmtId="166" fontId="170" fillId="0" borderId="16" xfId="0" applyNumberFormat="1" applyFont="1" applyBorder="1" applyAlignment="1">
      <alignment horizontal="center" vertical="center" wrapText="1"/>
    </xf>
    <xf numFmtId="0" fontId="170" fillId="0" borderId="16" xfId="0" applyFont="1" applyBorder="1" applyAlignment="1">
      <alignment vertical="center" wrapText="1"/>
    </xf>
    <xf numFmtId="167" fontId="169" fillId="0" borderId="16" xfId="1059" applyNumberFormat="1" applyFont="1" applyBorder="1" applyAlignment="1">
      <alignment horizontal="center" vertical="center"/>
    </xf>
    <xf numFmtId="0" fontId="61" fillId="0" borderId="16" xfId="0" quotePrefix="1" applyFont="1" applyBorder="1" applyAlignment="1">
      <alignment vertical="center" wrapText="1"/>
    </xf>
    <xf numFmtId="0" fontId="170" fillId="0" borderId="16" xfId="0" applyFont="1" applyBorder="1" applyAlignment="1">
      <alignment horizontal="center" vertical="center" wrapText="1"/>
    </xf>
    <xf numFmtId="167" fontId="61" fillId="0" borderId="16" xfId="1059" applyNumberFormat="1" applyFont="1" applyBorder="1" applyAlignment="1">
      <alignment horizontal="center" vertical="center"/>
    </xf>
    <xf numFmtId="167" fontId="61" fillId="0" borderId="16" xfId="1059" applyNumberFormat="1" applyFont="1" applyBorder="1" applyAlignment="1">
      <alignment horizontal="center" vertical="center" wrapText="1"/>
    </xf>
    <xf numFmtId="0" fontId="61" fillId="0" borderId="16" xfId="0" quotePrefix="1" applyFont="1" applyBorder="1" applyAlignment="1">
      <alignment vertical="center"/>
    </xf>
    <xf numFmtId="0" fontId="170" fillId="0" borderId="16" xfId="0" applyFont="1" applyBorder="1" applyAlignment="1">
      <alignment vertical="center"/>
    </xf>
    <xf numFmtId="0" fontId="169" fillId="44" borderId="16" xfId="0" applyFont="1" applyFill="1" applyBorder="1" applyAlignment="1">
      <alignment vertical="center"/>
    </xf>
    <xf numFmtId="167" fontId="61" fillId="0" borderId="16" xfId="0" applyNumberFormat="1" applyFont="1" applyBorder="1" applyAlignment="1">
      <alignment horizontal="center"/>
    </xf>
    <xf numFmtId="3" fontId="61" fillId="0" borderId="16" xfId="1553" applyNumberFormat="1" applyFont="1" applyBorder="1" applyAlignment="1">
      <alignment horizontal="center" vertical="center"/>
    </xf>
    <xf numFmtId="0" fontId="61" fillId="64" borderId="16" xfId="0" quotePrefix="1" applyFont="1" applyFill="1" applyBorder="1" applyAlignment="1">
      <alignment vertical="center" wrapText="1"/>
    </xf>
    <xf numFmtId="0" fontId="170" fillId="64" borderId="16" xfId="1695" applyFont="1" applyFill="1" applyBorder="1" applyAlignment="1">
      <alignment vertical="center" wrapText="1"/>
    </xf>
    <xf numFmtId="0" fontId="171" fillId="64" borderId="16" xfId="0" quotePrefix="1" applyFont="1" applyFill="1" applyBorder="1" applyAlignment="1">
      <alignment vertical="center" wrapText="1"/>
    </xf>
    <xf numFmtId="0" fontId="170" fillId="64" borderId="16" xfId="1695" quotePrefix="1" applyFont="1" applyFill="1" applyBorder="1" applyAlignment="1">
      <alignment vertical="center" wrapText="1"/>
    </xf>
    <xf numFmtId="0" fontId="61" fillId="64" borderId="16" xfId="1695" quotePrefix="1" applyFont="1" applyFill="1" applyBorder="1" applyAlignment="1">
      <alignment vertical="center" wrapText="1"/>
    </xf>
    <xf numFmtId="0" fontId="170" fillId="64" borderId="16" xfId="0" applyFont="1" applyFill="1" applyBorder="1" applyAlignment="1">
      <alignment horizontal="left" vertical="center" wrapText="1"/>
    </xf>
    <xf numFmtId="0" fontId="170" fillId="64" borderId="16" xfId="0" quotePrefix="1" applyFont="1" applyFill="1" applyBorder="1" applyAlignment="1">
      <alignment vertical="center" wrapText="1"/>
    </xf>
    <xf numFmtId="0" fontId="169" fillId="64" borderId="16" xfId="0" quotePrefix="1" applyFont="1" applyFill="1" applyBorder="1" applyAlignment="1">
      <alignment vertical="center" wrapText="1"/>
    </xf>
    <xf numFmtId="3" fontId="161" fillId="0" borderId="16" xfId="990" applyNumberFormat="1" applyFont="1" applyBorder="1" applyAlignment="1">
      <alignment horizontal="center" vertical="center"/>
    </xf>
    <xf numFmtId="0" fontId="22" fillId="0" borderId="16" xfId="0" applyFont="1" applyBorder="1" applyAlignment="1">
      <alignment vertical="center" wrapText="1"/>
    </xf>
    <xf numFmtId="3" fontId="22" fillId="0" borderId="16" xfId="990" applyNumberFormat="1" applyFont="1" applyBorder="1" applyAlignment="1">
      <alignment horizontal="center" vertical="center"/>
    </xf>
    <xf numFmtId="167" fontId="161" fillId="0" borderId="16" xfId="990" applyNumberFormat="1" applyFont="1" applyBorder="1" applyAlignment="1">
      <alignment horizontal="center" vertical="center" wrapText="1"/>
    </xf>
    <xf numFmtId="3" fontId="161" fillId="0" borderId="16" xfId="990" applyNumberFormat="1" applyFont="1" applyBorder="1" applyAlignment="1">
      <alignment horizontal="center" vertical="center" wrapText="1"/>
    </xf>
    <xf numFmtId="166" fontId="57" fillId="0" borderId="0" xfId="0" applyNumberFormat="1" applyFont="1" applyAlignment="1">
      <alignment vertical="center"/>
    </xf>
    <xf numFmtId="166" fontId="57" fillId="0" borderId="0" xfId="0" applyNumberFormat="1" applyFont="1" applyAlignment="1">
      <alignment horizontal="center" vertical="center"/>
    </xf>
    <xf numFmtId="166" fontId="22" fillId="0" borderId="16" xfId="0" quotePrefix="1" applyNumberFormat="1" applyFont="1" applyBorder="1" applyAlignment="1">
      <alignment horizontal="center" vertical="center"/>
    </xf>
    <xf numFmtId="167" fontId="169" fillId="64" borderId="16" xfId="1052" applyNumberFormat="1" applyFont="1" applyFill="1" applyBorder="1" applyAlignment="1">
      <alignment horizontal="center" vertical="center" wrapText="1"/>
    </xf>
    <xf numFmtId="167" fontId="169" fillId="0" borderId="16" xfId="913" applyNumberFormat="1" applyFont="1" applyBorder="1" applyAlignment="1">
      <alignment horizontal="center" vertical="center" wrapText="1"/>
    </xf>
    <xf numFmtId="167" fontId="169" fillId="64" borderId="16" xfId="1614" applyNumberFormat="1" applyFont="1" applyFill="1" applyBorder="1" applyAlignment="1">
      <alignment horizontal="center" vertical="center" wrapText="1"/>
    </xf>
    <xf numFmtId="167" fontId="61" fillId="0" borderId="16" xfId="913" applyNumberFormat="1" applyFont="1" applyBorder="1" applyAlignment="1">
      <alignment horizontal="center" vertical="center" wrapText="1"/>
    </xf>
    <xf numFmtId="3" fontId="61" fillId="64" borderId="16" xfId="1052" applyNumberFormat="1" applyFont="1" applyFill="1" applyBorder="1" applyAlignment="1">
      <alignment horizontal="center" vertical="center" wrapText="1"/>
    </xf>
    <xf numFmtId="167" fontId="169" fillId="0" borderId="16" xfId="913" applyNumberFormat="1" applyFont="1" applyBorder="1" applyAlignment="1">
      <alignment horizontal="center" vertical="center"/>
    </xf>
    <xf numFmtId="167" fontId="61" fillId="0" borderId="16" xfId="913" applyNumberFormat="1" applyFont="1" applyBorder="1" applyAlignment="1">
      <alignment horizontal="center" vertical="center"/>
    </xf>
    <xf numFmtId="3" fontId="61" fillId="64" borderId="16" xfId="1614" applyNumberFormat="1" applyFont="1" applyFill="1" applyBorder="1" applyAlignment="1">
      <alignment horizontal="center" vertical="center"/>
    </xf>
    <xf numFmtId="0" fontId="61" fillId="0" borderId="16" xfId="1704" quotePrefix="1" applyFont="1" applyFill="1" applyBorder="1" applyAlignment="1">
      <alignment horizontal="center" vertical="center"/>
    </xf>
    <xf numFmtId="0" fontId="61" fillId="0" borderId="16" xfId="1704" applyFont="1" applyFill="1" applyBorder="1" applyAlignment="1">
      <alignment vertical="center"/>
    </xf>
    <xf numFmtId="3" fontId="61" fillId="0" borderId="16" xfId="1704" applyNumberFormat="1" applyFont="1" applyFill="1" applyBorder="1" applyAlignment="1">
      <alignment horizontal="center" vertical="center"/>
    </xf>
    <xf numFmtId="0" fontId="61" fillId="0" borderId="0" xfId="1704" applyFont="1" applyFill="1" applyAlignment="1">
      <alignment vertical="center"/>
    </xf>
    <xf numFmtId="0" fontId="169" fillId="0" borderId="16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166" fontId="161" fillId="0" borderId="34" xfId="0" applyNumberFormat="1" applyFont="1" applyBorder="1" applyAlignment="1">
      <alignment horizontal="center" vertical="center" wrapText="1"/>
    </xf>
    <xf numFmtId="0" fontId="170" fillId="44" borderId="16" xfId="0" applyFont="1" applyFill="1" applyBorder="1" applyAlignment="1">
      <alignment vertical="center" wrapText="1"/>
    </xf>
    <xf numFmtId="0" fontId="61" fillId="44" borderId="16" xfId="0" applyFont="1" applyFill="1" applyBorder="1" applyAlignment="1">
      <alignment vertical="center"/>
    </xf>
    <xf numFmtId="3" fontId="61" fillId="0" borderId="16" xfId="1059" applyNumberFormat="1" applyFont="1" applyBorder="1" applyAlignment="1">
      <alignment horizontal="right" vertical="center"/>
    </xf>
    <xf numFmtId="167" fontId="169" fillId="0" borderId="16" xfId="1059" applyNumberFormat="1" applyFont="1" applyBorder="1" applyAlignment="1">
      <alignment horizontal="right" vertical="center"/>
    </xf>
    <xf numFmtId="167" fontId="61" fillId="0" borderId="16" xfId="1059" applyNumberFormat="1" applyFont="1" applyBorder="1" applyAlignment="1">
      <alignment horizontal="right" vertical="center"/>
    </xf>
    <xf numFmtId="3" fontId="61" fillId="0" borderId="16" xfId="1059" applyNumberFormat="1" applyFont="1" applyBorder="1" applyAlignment="1">
      <alignment horizontal="right" vertical="center" wrapText="1"/>
    </xf>
    <xf numFmtId="3" fontId="61" fillId="0" borderId="16" xfId="1560" applyNumberFormat="1" applyFont="1" applyBorder="1" applyAlignment="1">
      <alignment horizontal="center" vertical="center"/>
    </xf>
    <xf numFmtId="167" fontId="61" fillId="0" borderId="16" xfId="1560" applyNumberFormat="1" applyFont="1" applyBorder="1" applyAlignment="1">
      <alignment horizontal="center" vertical="center"/>
    </xf>
    <xf numFmtId="167" fontId="61" fillId="64" borderId="16" xfId="1013" applyNumberFormat="1" applyFont="1" applyFill="1" applyBorder="1" applyAlignment="1">
      <alignment horizontal="center" vertical="center"/>
    </xf>
    <xf numFmtId="4" fontId="61" fillId="64" borderId="16" xfId="1015" applyNumberFormat="1" applyFont="1" applyFill="1" applyBorder="1" applyAlignment="1">
      <alignment horizontal="center" vertical="center"/>
    </xf>
    <xf numFmtId="4" fontId="61" fillId="64" borderId="16" xfId="1052" applyNumberFormat="1" applyFont="1" applyFill="1" applyBorder="1" applyAlignment="1">
      <alignment horizontal="center" vertical="center"/>
    </xf>
    <xf numFmtId="3" fontId="161" fillId="64" borderId="16" xfId="913" applyNumberFormat="1" applyFont="1" applyFill="1" applyBorder="1" applyAlignment="1">
      <alignment horizontal="center" vertical="center" wrapText="1"/>
    </xf>
    <xf numFmtId="167" fontId="161" fillId="64" borderId="16" xfId="913" applyNumberFormat="1" applyFont="1" applyFill="1" applyBorder="1" applyAlignment="1">
      <alignment horizontal="center" vertical="center" wrapText="1"/>
    </xf>
    <xf numFmtId="167" fontId="169" fillId="0" borderId="16" xfId="1052" applyNumberFormat="1" applyFont="1" applyBorder="1" applyAlignment="1">
      <alignment horizontal="center" vertical="center" wrapText="1"/>
    </xf>
    <xf numFmtId="167" fontId="169" fillId="0" borderId="16" xfId="1614" applyNumberFormat="1" applyFont="1" applyBorder="1" applyAlignment="1">
      <alignment horizontal="center" vertical="center" wrapText="1"/>
    </xf>
    <xf numFmtId="167" fontId="61" fillId="0" borderId="16" xfId="1614" applyNumberFormat="1" applyFont="1" applyBorder="1" applyAlignment="1">
      <alignment horizontal="center" vertical="center" wrapText="1"/>
    </xf>
    <xf numFmtId="3" fontId="169" fillId="0" borderId="16" xfId="1052" applyNumberFormat="1" applyFont="1" applyBorder="1" applyAlignment="1">
      <alignment horizontal="center" vertical="center" wrapText="1"/>
    </xf>
    <xf numFmtId="3" fontId="61" fillId="0" borderId="16" xfId="1052" applyNumberFormat="1" applyFont="1" applyBorder="1" applyAlignment="1">
      <alignment horizontal="center" vertical="center" wrapText="1"/>
    </xf>
    <xf numFmtId="3" fontId="61" fillId="0" borderId="16" xfId="1614" applyNumberFormat="1" applyFont="1" applyBorder="1" applyAlignment="1">
      <alignment horizontal="center" vertical="center" wrapText="1"/>
    </xf>
    <xf numFmtId="167" fontId="169" fillId="0" borderId="16" xfId="1614" applyNumberFormat="1" applyFont="1" applyBorder="1" applyAlignment="1">
      <alignment horizontal="center" vertical="center"/>
    </xf>
    <xf numFmtId="167" fontId="61" fillId="0" borderId="16" xfId="1052" applyNumberFormat="1" applyFont="1" applyBorder="1" applyAlignment="1">
      <alignment horizontal="center" vertical="center"/>
    </xf>
    <xf numFmtId="3" fontId="61" fillId="0" borderId="16" xfId="1614" applyNumberFormat="1" applyFont="1" applyBorder="1" applyAlignment="1">
      <alignment horizontal="center" vertical="center"/>
    </xf>
    <xf numFmtId="3" fontId="61" fillId="64" borderId="16" xfId="0" applyNumberFormat="1" applyFont="1" applyFill="1" applyBorder="1" applyAlignment="1">
      <alignment horizontal="right" vertical="center"/>
    </xf>
    <xf numFmtId="4" fontId="61" fillId="64" borderId="16" xfId="1614" applyNumberFormat="1" applyFont="1" applyFill="1" applyBorder="1" applyAlignment="1">
      <alignment horizontal="center" vertical="center"/>
    </xf>
    <xf numFmtId="167" fontId="161" fillId="0" borderId="34" xfId="0" applyNumberFormat="1" applyFont="1" applyFill="1" applyBorder="1" applyAlignment="1">
      <alignment horizontal="center" vertical="center"/>
    </xf>
    <xf numFmtId="1" fontId="161" fillId="0" borderId="34" xfId="0" applyNumberFormat="1" applyFont="1" applyFill="1" applyBorder="1" applyAlignment="1">
      <alignment horizontal="center" vertical="center" wrapText="1"/>
    </xf>
    <xf numFmtId="3" fontId="22" fillId="0" borderId="16" xfId="913" applyNumberFormat="1" applyFont="1" applyBorder="1" applyAlignment="1">
      <alignment horizontal="center" vertical="center" wrapText="1"/>
    </xf>
    <xf numFmtId="3" fontId="22" fillId="0" borderId="16" xfId="913" applyNumberFormat="1" applyFont="1" applyBorder="1" applyAlignment="1">
      <alignment horizontal="center" vertical="center"/>
    </xf>
    <xf numFmtId="167" fontId="161" fillId="0" borderId="0" xfId="0" applyNumberFormat="1" applyFont="1" applyAlignment="1">
      <alignment vertical="center"/>
    </xf>
    <xf numFmtId="1" fontId="161" fillId="0" borderId="16" xfId="0" quotePrefix="1" applyNumberFormat="1" applyFont="1" applyFill="1" applyBorder="1" applyAlignment="1">
      <alignment horizontal="center" vertical="center"/>
    </xf>
    <xf numFmtId="3" fontId="169" fillId="0" borderId="0" xfId="0" applyNumberFormat="1" applyFont="1" applyAlignment="1">
      <alignment vertical="center"/>
    </xf>
    <xf numFmtId="37" fontId="170" fillId="0" borderId="0" xfId="0" applyNumberFormat="1" applyFont="1" applyAlignment="1">
      <alignment vertical="center"/>
    </xf>
    <xf numFmtId="37" fontId="169" fillId="0" borderId="0" xfId="0" applyNumberFormat="1" applyFont="1" applyAlignment="1">
      <alignment vertical="center"/>
    </xf>
    <xf numFmtId="166" fontId="22" fillId="0" borderId="16" xfId="0" applyNumberFormat="1" applyFont="1" applyFill="1" applyBorder="1" applyAlignment="1">
      <alignment horizontal="center" vertical="center" wrapText="1"/>
    </xf>
    <xf numFmtId="1" fontId="22" fillId="0" borderId="16" xfId="0" quotePrefix="1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1" fontId="161" fillId="0" borderId="16" xfId="0" quotePrefix="1" applyNumberFormat="1" applyFont="1" applyFill="1" applyBorder="1" applyAlignment="1">
      <alignment horizontal="center" vertical="center" wrapText="1"/>
    </xf>
    <xf numFmtId="166" fontId="22" fillId="0" borderId="16" xfId="0" quotePrefix="1" applyNumberFormat="1" applyFont="1" applyFill="1" applyBorder="1" applyAlignment="1">
      <alignment horizontal="center" vertical="center" wrapText="1"/>
    </xf>
    <xf numFmtId="167" fontId="22" fillId="0" borderId="16" xfId="0" applyNumberFormat="1" applyFont="1" applyFill="1" applyBorder="1" applyAlignment="1">
      <alignment horizontal="center" vertical="center" wrapText="1"/>
    </xf>
    <xf numFmtId="166" fontId="171" fillId="0" borderId="16" xfId="0" applyNumberFormat="1" applyFont="1" applyBorder="1" applyAlignment="1">
      <alignment horizontal="center" vertical="center"/>
    </xf>
    <xf numFmtId="166" fontId="171" fillId="0" borderId="16" xfId="0" applyNumberFormat="1" applyFont="1" applyFill="1" applyBorder="1" applyAlignment="1">
      <alignment horizontal="center" vertical="center"/>
    </xf>
    <xf numFmtId="1" fontId="161" fillId="0" borderId="16" xfId="0" applyNumberFormat="1" applyFont="1" applyFill="1" applyBorder="1" applyAlignment="1">
      <alignment horizontal="center" vertical="center"/>
    </xf>
    <xf numFmtId="0" fontId="161" fillId="64" borderId="16" xfId="0" applyFont="1" applyFill="1" applyBorder="1" applyAlignment="1">
      <alignment horizontal="center" vertical="center"/>
    </xf>
    <xf numFmtId="167" fontId="61" fillId="64" borderId="0" xfId="0" applyNumberFormat="1" applyFont="1" applyFill="1"/>
    <xf numFmtId="0" fontId="57" fillId="0" borderId="0" xfId="0" applyFont="1" applyFill="1" applyAlignment="1">
      <alignment vertical="center"/>
    </xf>
    <xf numFmtId="0" fontId="161" fillId="0" borderId="16" xfId="0" applyFont="1" applyFill="1" applyBorder="1" applyAlignment="1">
      <alignment horizontal="justify" vertical="center" wrapText="1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69" fillId="0" borderId="0" xfId="0" applyFont="1" applyAlignment="1">
      <alignment horizontal="center" vertical="center"/>
    </xf>
    <xf numFmtId="0" fontId="169" fillId="0" borderId="16" xfId="0" applyFont="1" applyBorder="1" applyAlignment="1">
      <alignment horizontal="center" vertical="center"/>
    </xf>
    <xf numFmtId="0" fontId="169" fillId="0" borderId="16" xfId="0" applyFont="1" applyBorder="1" applyAlignment="1">
      <alignment horizontal="center" vertical="center" wrapText="1"/>
    </xf>
    <xf numFmtId="0" fontId="22" fillId="0" borderId="16" xfId="1705" applyFont="1" applyBorder="1" applyAlignment="1">
      <alignment horizontal="center" vertical="center" wrapText="1"/>
    </xf>
    <xf numFmtId="166" fontId="161" fillId="0" borderId="34" xfId="0" applyNumberFormat="1" applyFont="1" applyFill="1" applyBorder="1" applyAlignment="1">
      <alignment horizontal="center" vertical="center"/>
    </xf>
    <xf numFmtId="0" fontId="57" fillId="0" borderId="0" xfId="2220" applyFont="1" applyAlignment="1">
      <alignment horizontal="center" vertical="center"/>
    </xf>
    <xf numFmtId="0" fontId="175" fillId="0" borderId="0" xfId="2220" applyFont="1" applyAlignment="1">
      <alignment horizontal="center" vertical="center" wrapText="1"/>
    </xf>
    <xf numFmtId="0" fontId="176" fillId="0" borderId="0" xfId="222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44" borderId="16" xfId="0" applyNumberFormat="1" applyFont="1" applyFill="1" applyBorder="1" applyAlignment="1">
      <alignment horizontal="center" vertical="center" wrapText="1"/>
    </xf>
    <xf numFmtId="0" fontId="22" fillId="44" borderId="16" xfId="0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169" fillId="0" borderId="0" xfId="0" applyFont="1" applyAlignment="1">
      <alignment horizontal="center" vertical="center"/>
    </xf>
    <xf numFmtId="0" fontId="169" fillId="44" borderId="0" xfId="0" applyNumberFormat="1" applyFont="1" applyFill="1" applyAlignment="1">
      <alignment horizontal="center" vertical="center"/>
    </xf>
    <xf numFmtId="0" fontId="169" fillId="0" borderId="16" xfId="0" applyFont="1" applyBorder="1" applyAlignment="1">
      <alignment horizontal="center" vertical="center"/>
    </xf>
    <xf numFmtId="0" fontId="169" fillId="0" borderId="16" xfId="0" applyNumberFormat="1" applyFont="1" applyBorder="1" applyAlignment="1">
      <alignment horizontal="center" vertical="center" wrapText="1"/>
    </xf>
    <xf numFmtId="0" fontId="169" fillId="0" borderId="16" xfId="0" applyFont="1" applyBorder="1" applyAlignment="1">
      <alignment horizontal="center" vertical="center" wrapText="1"/>
    </xf>
    <xf numFmtId="1" fontId="22" fillId="0" borderId="0" xfId="1709" applyNumberFormat="1" applyFont="1" applyFill="1" applyAlignment="1">
      <alignment horizontal="center" vertical="center"/>
    </xf>
    <xf numFmtId="0" fontId="22" fillId="0" borderId="0" xfId="1705" applyNumberFormat="1" applyFont="1" applyAlignment="1">
      <alignment horizontal="center" vertical="center"/>
    </xf>
    <xf numFmtId="166" fontId="22" fillId="0" borderId="16" xfId="1705" applyNumberFormat="1" applyFont="1" applyBorder="1" applyAlignment="1">
      <alignment horizontal="center" vertical="center" wrapText="1"/>
    </xf>
    <xf numFmtId="0" fontId="22" fillId="0" borderId="16" xfId="1705" applyFont="1" applyBorder="1" applyAlignment="1">
      <alignment horizontal="center" vertical="center" wrapText="1"/>
    </xf>
    <xf numFmtId="0" fontId="22" fillId="0" borderId="16" xfId="1705" applyNumberFormat="1" applyFont="1" applyBorder="1" applyAlignment="1">
      <alignment horizontal="center" vertical="center" wrapText="1"/>
    </xf>
    <xf numFmtId="0" fontId="21" fillId="0" borderId="0" xfId="1714" applyFont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center" vertical="center" wrapText="1"/>
    </xf>
  </cellXfs>
  <cellStyles count="2221">
    <cellStyle name="_x0001_" xfId="1"/>
    <cellStyle name=" 1" xfId="2"/>
    <cellStyle name="??" xfId="3"/>
    <cellStyle name="?? [0.00]_ Att. 1- Cover" xfId="4"/>
    <cellStyle name="?? [0]" xfId="5"/>
    <cellStyle name="?? [0] 1" xfId="6"/>
    <cellStyle name="?? [0] 2" xfId="7"/>
    <cellStyle name="?? [0] 3" xfId="8"/>
    <cellStyle name="?? [0] 4" xfId="9"/>
    <cellStyle name="?? [0] 5" xfId="10"/>
    <cellStyle name="?? [0]_1202" xfId="11"/>
    <cellStyle name="?? 1" xfId="12"/>
    <cellStyle name="?? 2" xfId="13"/>
    <cellStyle name="?? 3" xfId="14"/>
    <cellStyle name="?? 4" xfId="15"/>
    <cellStyle name="?? 5" xfId="16"/>
    <cellStyle name="???%U©÷u&amp;H©÷9? s_x000a_" xfId="17"/>
    <cellStyle name="???%U©÷u&amp;H©÷9? s_x000a_ 1" xfId="18"/>
    <cellStyle name="?_x001d_??%U©÷u&amp;H©÷9_x0008_?_x0009_s_x000a__x0007__x0001__x0001_" xfId="19"/>
    <cellStyle name="???? [0.00]_List-dwg" xfId="20"/>
    <cellStyle name="????[0]_Sheet1" xfId="21"/>
    <cellStyle name="????_List-dwg" xfId="22"/>
    <cellStyle name="???[0]_?? DI" xfId="23"/>
    <cellStyle name="???_?? DI" xfId="24"/>
    <cellStyle name="??[0]_BRE" xfId="25"/>
    <cellStyle name="??_ ??? ???? " xfId="26"/>
    <cellStyle name="??A? [0]_ÿÿÿÿÿÿ_1_¢¬???¢â? " xfId="27"/>
    <cellStyle name="??A?_ÿÿÿÿÿÿ_1_¢¬???¢â? " xfId="28"/>
    <cellStyle name="?_x005f_x001d_??%U©÷u&amp;H©÷9_x005f_x0008_? s_x000a__x005f_x0007__x005f_x0001__x005f_x0001_" xfId="29"/>
    <cellStyle name="?_x005f_x001d_??%U©÷u&amp;H©÷9_x005f_x0008_? s_x000a__x005f_x0007__x005f_x0001__x005f_x0001_ 1" xfId="30"/>
    <cellStyle name="?_x005f_x001d_??%U©÷u&amp;H©÷9_x005f_x0008_? s_x000a__x005f_x0007__x005f_x0001__x005f_x0001_ 2" xfId="31"/>
    <cellStyle name="?¡±¢¥?_?¨ù??¢´¢¥_¢¬???¢â? " xfId="32"/>
    <cellStyle name="?ðÇ%U?&amp;H??s_x000a_" xfId="33"/>
    <cellStyle name="?ðÇ%U?&amp;H?_x0008_?s_x000a__x0007__x0001__x0001_" xfId="34"/>
    <cellStyle name="?ðÇ%U?&amp;H??s_x000a_ 1" xfId="35"/>
    <cellStyle name="?ðÇ%U?&amp;H?_x005f_x0008_?s_x000a__x005f_x0007__x005f_x0001__x005f_x0001_" xfId="36"/>
    <cellStyle name="_1_" xfId="37"/>
    <cellStyle name="_bao cao dinh ky quy I - 2014 (dung sua)" xfId="38"/>
    <cellStyle name="_BAO CAO THUE T09- 2007(h)" xfId="39"/>
    <cellStyle name="_BAO CAO THUE T09- 2007(h) 1" xfId="40"/>
    <cellStyle name="_BAO CAO THUE T09- 2007(h) 2" xfId="41"/>
    <cellStyle name="_BAO CAO THUE T09- 2007(h) 3" xfId="42"/>
    <cellStyle name="_BAO CAO THUE T09- 2007(h) 4" xfId="43"/>
    <cellStyle name="_BAO CAO THUE T09- 2007(h) 5" xfId="44"/>
    <cellStyle name="_BAO CAO THUE T09- 2007(h)_Bao cao tien do thuc hien chi dao va ket qua thu hoi NQH" xfId="45"/>
    <cellStyle name="_Book1" xfId="46"/>
    <cellStyle name="_Book1_1" xfId="47"/>
    <cellStyle name="_Book1_BC-QT-WB-dthao" xfId="48"/>
    <cellStyle name="_KT (2)" xfId="49"/>
    <cellStyle name="_KT (2) 1" xfId="50"/>
    <cellStyle name="_KT (2) 2" xfId="51"/>
    <cellStyle name="_KT (2) 3" xfId="52"/>
    <cellStyle name="_KT (2) 4" xfId="53"/>
    <cellStyle name="_KT (2) 5" xfId="54"/>
    <cellStyle name="_KT (2)_1" xfId="55"/>
    <cellStyle name="_KT (2)_1 1" xfId="56"/>
    <cellStyle name="_KT (2)_1 2" xfId="57"/>
    <cellStyle name="_KT (2)_1 3" xfId="58"/>
    <cellStyle name="_KT (2)_1 4" xfId="59"/>
    <cellStyle name="_KT (2)_1 5" xfId="60"/>
    <cellStyle name="_KT (2)_1_Bao cao tien do thuc hien chi dao va ket qua thu hoi NQH" xfId="61"/>
    <cellStyle name="_KT (2)_1_Lora-tungchau" xfId="62"/>
    <cellStyle name="_KT (2)_1_Qt-HT3PQ1(CauKho)" xfId="63"/>
    <cellStyle name="_KT (2)_1_tong hop NTM cac xa 2019 (3)" xfId="64"/>
    <cellStyle name="_KT (2)_2" xfId="65"/>
    <cellStyle name="_KT (2)_2 1" xfId="66"/>
    <cellStyle name="_KT (2)_2 2" xfId="67"/>
    <cellStyle name="_KT (2)_2 3" xfId="68"/>
    <cellStyle name="_KT (2)_2 4" xfId="69"/>
    <cellStyle name="_KT (2)_2 5" xfId="70"/>
    <cellStyle name="_KT (2)_2_Bao cao tien do thuc hien chi dao va ket qua thu hoi NQH" xfId="71"/>
    <cellStyle name="_KT (2)_2_TG-TH" xfId="72"/>
    <cellStyle name="_KT (2)_2_TG-TH 1" xfId="73"/>
    <cellStyle name="_KT (2)_2_TG-TH 2" xfId="74"/>
    <cellStyle name="_KT (2)_2_TG-TH 3" xfId="75"/>
    <cellStyle name="_KT (2)_2_TG-TH 4" xfId="76"/>
    <cellStyle name="_KT (2)_2_TG-TH 5" xfId="77"/>
    <cellStyle name="_KT (2)_2_TG-TH_BAO CAO KLCT PT2000" xfId="78"/>
    <cellStyle name="_KT (2)_2_TG-TH_BAO CAO PT2000" xfId="79"/>
    <cellStyle name="_KT (2)_2_TG-TH_BAO CAO PT2000_Book1" xfId="80"/>
    <cellStyle name="_KT (2)_2_TG-TH_Bao cao tien do thuc hien chi dao va ket qua thu hoi NQH" xfId="81"/>
    <cellStyle name="_KT (2)_2_TG-TH_Bao cao XDCB 2001 - T11 KH dieu chinh 20-11-THAI" xfId="82"/>
    <cellStyle name="_KT (2)_2_TG-TH_Book1" xfId="83"/>
    <cellStyle name="_KT (2)_2_TG-TH_Book1_1" xfId="84"/>
    <cellStyle name="_KT (2)_2_TG-TH_Book1_2" xfId="85"/>
    <cellStyle name="_KT (2)_2_TG-TH_Book1_3" xfId="86"/>
    <cellStyle name="_KT (2)_2_TG-TH_Book1_4" xfId="87"/>
    <cellStyle name="_KT (2)_2_TG-TH_DTCDT MR.2N110.HOCMON.TDTOAN.CCUNG" xfId="88"/>
    <cellStyle name="_KT (2)_2_TG-TH_Lora-tungchau" xfId="89"/>
    <cellStyle name="_KT (2)_2_TG-TH_PGIA-phieu tham tra Kho bac" xfId="90"/>
    <cellStyle name="_KT (2)_2_TG-TH_PT02-02" xfId="91"/>
    <cellStyle name="_KT (2)_2_TG-TH_PT02-02_Book1" xfId="92"/>
    <cellStyle name="_KT (2)_2_TG-TH_PT02-03" xfId="93"/>
    <cellStyle name="_KT (2)_2_TG-TH_PT02-03_Book1" xfId="94"/>
    <cellStyle name="_KT (2)_2_TG-TH_Qt-HT3PQ1(CauKho)" xfId="95"/>
    <cellStyle name="_KT (2)_2_TG-TH_tong hop NTM cac xa 2019 (3)" xfId="96"/>
    <cellStyle name="_KT (2)_2_tong hop NTM cac xa 2019 (3)" xfId="97"/>
    <cellStyle name="_KT (2)_3" xfId="98"/>
    <cellStyle name="_KT (2)_3 1" xfId="99"/>
    <cellStyle name="_KT (2)_3 2" xfId="100"/>
    <cellStyle name="_KT (2)_3 3" xfId="101"/>
    <cellStyle name="_KT (2)_3 4" xfId="102"/>
    <cellStyle name="_KT (2)_3 5" xfId="103"/>
    <cellStyle name="_KT (2)_3_Bao cao tien do thuc hien chi dao va ket qua thu hoi NQH" xfId="104"/>
    <cellStyle name="_KT (2)_3_TG-TH" xfId="105"/>
    <cellStyle name="_KT (2)_3_TG-TH 1" xfId="106"/>
    <cellStyle name="_KT (2)_3_TG-TH 2" xfId="107"/>
    <cellStyle name="_KT (2)_3_TG-TH 3" xfId="108"/>
    <cellStyle name="_KT (2)_3_TG-TH 4" xfId="109"/>
    <cellStyle name="_KT (2)_3_TG-TH 5" xfId="110"/>
    <cellStyle name="_KT (2)_3_TG-TH_Bao cao tien do thuc hien chi dao va ket qua thu hoi NQH" xfId="111"/>
    <cellStyle name="_KT (2)_3_TG-TH_Book1" xfId="112"/>
    <cellStyle name="_KT (2)_3_TG-TH_Book1_1" xfId="113"/>
    <cellStyle name="_KT (2)_3_TG-TH_Book1_BC-QT-WB-dthao" xfId="114"/>
    <cellStyle name="_KT (2)_3_TG-TH_Lora-tungchau" xfId="115"/>
    <cellStyle name="_KT (2)_3_TG-TH_PERSONAL" xfId="116"/>
    <cellStyle name="_KT (2)_3_TG-TH_PERSONAL_HTQ.8 GD1" xfId="117"/>
    <cellStyle name="_KT (2)_3_TG-TH_PERSONAL_Tong hop KHCB 2001" xfId="118"/>
    <cellStyle name="_KT (2)_3_TG-TH_Qt-HT3PQ1(CauKho)" xfId="119"/>
    <cellStyle name="_KT (2)_3_TG-TH_tong hop NTM cac xa 2019 (3)" xfId="120"/>
    <cellStyle name="_KT (2)_3_tong hop NTM cac xa 2019 (3)" xfId="121"/>
    <cellStyle name="_KT (2)_4" xfId="122"/>
    <cellStyle name="_KT (2)_4 1" xfId="123"/>
    <cellStyle name="_KT (2)_4 2" xfId="124"/>
    <cellStyle name="_KT (2)_4 3" xfId="125"/>
    <cellStyle name="_KT (2)_4 4" xfId="126"/>
    <cellStyle name="_KT (2)_4 5" xfId="127"/>
    <cellStyle name="_KT (2)_4_BAO CAO KLCT PT2000" xfId="128"/>
    <cellStyle name="_KT (2)_4_BAO CAO PT2000" xfId="129"/>
    <cellStyle name="_KT (2)_4_BAO CAO PT2000_Book1" xfId="130"/>
    <cellStyle name="_KT (2)_4_Bao cao tien do thuc hien chi dao va ket qua thu hoi NQH" xfId="131"/>
    <cellStyle name="_KT (2)_4_Bao cao XDCB 2001 - T11 KH dieu chinh 20-11-THAI" xfId="132"/>
    <cellStyle name="_KT (2)_4_Book1" xfId="133"/>
    <cellStyle name="_KT (2)_4_Book1_1" xfId="134"/>
    <cellStyle name="_KT (2)_4_Book1_2" xfId="135"/>
    <cellStyle name="_KT (2)_4_Book1_3" xfId="136"/>
    <cellStyle name="_KT (2)_4_Book1_4" xfId="137"/>
    <cellStyle name="_KT (2)_4_DTCDT MR.2N110.HOCMON.TDTOAN.CCUNG" xfId="138"/>
    <cellStyle name="_KT (2)_4_Lora-tungchau" xfId="139"/>
    <cellStyle name="_KT (2)_4_PGIA-phieu tham tra Kho bac" xfId="140"/>
    <cellStyle name="_KT (2)_4_PT02-02" xfId="141"/>
    <cellStyle name="_KT (2)_4_PT02-02_Book1" xfId="142"/>
    <cellStyle name="_KT (2)_4_PT02-03" xfId="143"/>
    <cellStyle name="_KT (2)_4_PT02-03_Book1" xfId="144"/>
    <cellStyle name="_KT (2)_4_Qt-HT3PQ1(CauKho)" xfId="145"/>
    <cellStyle name="_KT (2)_4_TG-TH" xfId="146"/>
    <cellStyle name="_KT (2)_4_TG-TH 1" xfId="147"/>
    <cellStyle name="_KT (2)_4_TG-TH 2" xfId="148"/>
    <cellStyle name="_KT (2)_4_TG-TH 3" xfId="149"/>
    <cellStyle name="_KT (2)_4_TG-TH 4" xfId="150"/>
    <cellStyle name="_KT (2)_4_TG-TH 5" xfId="151"/>
    <cellStyle name="_KT (2)_4_TG-TH_Bao cao tien do thuc hien chi dao va ket qua thu hoi NQH" xfId="152"/>
    <cellStyle name="_KT (2)_4_TG-TH_tong hop NTM cac xa 2019 (3)" xfId="153"/>
    <cellStyle name="_KT (2)_4_tong hop NTM cac xa 2019 (3)" xfId="154"/>
    <cellStyle name="_KT (2)_5" xfId="155"/>
    <cellStyle name="_KT (2)_5 1" xfId="156"/>
    <cellStyle name="_KT (2)_5 2" xfId="157"/>
    <cellStyle name="_KT (2)_5 3" xfId="158"/>
    <cellStyle name="_KT (2)_5 4" xfId="159"/>
    <cellStyle name="_KT (2)_5 5" xfId="160"/>
    <cellStyle name="_KT (2)_5_BAO CAO KLCT PT2000" xfId="161"/>
    <cellStyle name="_KT (2)_5_BAO CAO PT2000" xfId="162"/>
    <cellStyle name="_KT (2)_5_BAO CAO PT2000_Book1" xfId="163"/>
    <cellStyle name="_KT (2)_5_Bao cao tien do thuc hien chi dao va ket qua thu hoi NQH" xfId="164"/>
    <cellStyle name="_KT (2)_5_Bao cao XDCB 2001 - T11 KH dieu chinh 20-11-THAI" xfId="165"/>
    <cellStyle name="_KT (2)_5_Book1" xfId="166"/>
    <cellStyle name="_KT (2)_5_Book1_1" xfId="167"/>
    <cellStyle name="_KT (2)_5_Book1_2" xfId="168"/>
    <cellStyle name="_KT (2)_5_Book1_3" xfId="169"/>
    <cellStyle name="_KT (2)_5_Book1_4" xfId="170"/>
    <cellStyle name="_KT (2)_5_Book1_BC-QT-WB-dthao" xfId="171"/>
    <cellStyle name="_KT (2)_5_DTCDT MR.2N110.HOCMON.TDTOAN.CCUNG" xfId="172"/>
    <cellStyle name="_KT (2)_5_Lora-tungchau" xfId="173"/>
    <cellStyle name="_KT (2)_5_PGIA-phieu tham tra Kho bac" xfId="174"/>
    <cellStyle name="_KT (2)_5_PT02-02" xfId="175"/>
    <cellStyle name="_KT (2)_5_PT02-02_Book1" xfId="176"/>
    <cellStyle name="_KT (2)_5_PT02-03" xfId="177"/>
    <cellStyle name="_KT (2)_5_PT02-03_Book1" xfId="178"/>
    <cellStyle name="_KT (2)_5_Qt-HT3PQ1(CauKho)" xfId="179"/>
    <cellStyle name="_KT (2)_5_tong hop NTM cac xa 2019 (3)" xfId="180"/>
    <cellStyle name="_KT (2)_Bao cao tien do thuc hien chi dao va ket qua thu hoi NQH" xfId="181"/>
    <cellStyle name="_KT (2)_Book1" xfId="182"/>
    <cellStyle name="_KT (2)_Book1_1" xfId="183"/>
    <cellStyle name="_KT (2)_Book1_BC-QT-WB-dthao" xfId="184"/>
    <cellStyle name="_KT (2)_Lora-tungchau" xfId="185"/>
    <cellStyle name="_KT (2)_PERSONAL" xfId="186"/>
    <cellStyle name="_KT (2)_PERSONAL_HTQ.8 GD1" xfId="187"/>
    <cellStyle name="_KT (2)_PERSONAL_Tong hop KHCB 2001" xfId="188"/>
    <cellStyle name="_KT (2)_Qt-HT3PQ1(CauKho)" xfId="189"/>
    <cellStyle name="_KT (2)_TG-TH" xfId="190"/>
    <cellStyle name="_KT (2)_TG-TH 1" xfId="191"/>
    <cellStyle name="_KT (2)_TG-TH 2" xfId="192"/>
    <cellStyle name="_KT (2)_TG-TH 3" xfId="193"/>
    <cellStyle name="_KT (2)_TG-TH 4" xfId="194"/>
    <cellStyle name="_KT (2)_TG-TH 5" xfId="195"/>
    <cellStyle name="_KT (2)_TG-TH_Bao cao tien do thuc hien chi dao va ket qua thu hoi NQH" xfId="196"/>
    <cellStyle name="_KT (2)_TG-TH_tong hop NTM cac xa 2019 (3)" xfId="197"/>
    <cellStyle name="_KT (2)_tong hop NTM cac xa 2019 (3)" xfId="198"/>
    <cellStyle name="_KT_TG" xfId="199"/>
    <cellStyle name="_KT_TG 1" xfId="200"/>
    <cellStyle name="_KT_TG 2" xfId="201"/>
    <cellStyle name="_KT_TG 3" xfId="202"/>
    <cellStyle name="_KT_TG 4" xfId="203"/>
    <cellStyle name="_KT_TG 5" xfId="204"/>
    <cellStyle name="_KT_TG_1" xfId="205"/>
    <cellStyle name="_KT_TG_1 1" xfId="206"/>
    <cellStyle name="_KT_TG_1 2" xfId="207"/>
    <cellStyle name="_KT_TG_1 3" xfId="208"/>
    <cellStyle name="_KT_TG_1 4" xfId="209"/>
    <cellStyle name="_KT_TG_1 5" xfId="210"/>
    <cellStyle name="_KT_TG_1_BAO CAO KLCT PT2000" xfId="211"/>
    <cellStyle name="_KT_TG_1_BAO CAO PT2000" xfId="212"/>
    <cellStyle name="_KT_TG_1_BAO CAO PT2000_Book1" xfId="213"/>
    <cellStyle name="_KT_TG_1_Bao cao tien do thuc hien chi dao va ket qua thu hoi NQH" xfId="214"/>
    <cellStyle name="_KT_TG_1_Bao cao XDCB 2001 - T11 KH dieu chinh 20-11-THAI" xfId="215"/>
    <cellStyle name="_KT_TG_1_Book1" xfId="216"/>
    <cellStyle name="_KT_TG_1_Book1_1" xfId="217"/>
    <cellStyle name="_KT_TG_1_Book1_2" xfId="218"/>
    <cellStyle name="_KT_TG_1_Book1_3" xfId="219"/>
    <cellStyle name="_KT_TG_1_Book1_4" xfId="220"/>
    <cellStyle name="_KT_TG_1_Book1_BC-QT-WB-dthao" xfId="221"/>
    <cellStyle name="_KT_TG_1_DTCDT MR.2N110.HOCMON.TDTOAN.CCUNG" xfId="222"/>
    <cellStyle name="_KT_TG_1_Lora-tungchau" xfId="223"/>
    <cellStyle name="_KT_TG_1_PGIA-phieu tham tra Kho bac" xfId="224"/>
    <cellStyle name="_KT_TG_1_PT02-02" xfId="225"/>
    <cellStyle name="_KT_TG_1_PT02-02_Book1" xfId="226"/>
    <cellStyle name="_KT_TG_1_PT02-03" xfId="227"/>
    <cellStyle name="_KT_TG_1_PT02-03_Book1" xfId="228"/>
    <cellStyle name="_KT_TG_1_Qt-HT3PQ1(CauKho)" xfId="229"/>
    <cellStyle name="_KT_TG_1_tong hop NTM cac xa 2019 (3)" xfId="230"/>
    <cellStyle name="_KT_TG_2" xfId="231"/>
    <cellStyle name="_KT_TG_2 1" xfId="232"/>
    <cellStyle name="_KT_TG_2 2" xfId="233"/>
    <cellStyle name="_KT_TG_2 3" xfId="234"/>
    <cellStyle name="_KT_TG_2 4" xfId="235"/>
    <cellStyle name="_KT_TG_2 5" xfId="236"/>
    <cellStyle name="_KT_TG_2_BAO CAO KLCT PT2000" xfId="237"/>
    <cellStyle name="_KT_TG_2_BAO CAO PT2000" xfId="238"/>
    <cellStyle name="_KT_TG_2_BAO CAO PT2000_Book1" xfId="239"/>
    <cellStyle name="_KT_TG_2_Bao cao tien do thuc hien chi dao va ket qua thu hoi NQH" xfId="240"/>
    <cellStyle name="_KT_TG_2_Bao cao XDCB 2001 - T11 KH dieu chinh 20-11-THAI" xfId="241"/>
    <cellStyle name="_KT_TG_2_Book1" xfId="242"/>
    <cellStyle name="_KT_TG_2_Book1_1" xfId="243"/>
    <cellStyle name="_KT_TG_2_Book1_2" xfId="244"/>
    <cellStyle name="_KT_TG_2_Book1_3" xfId="245"/>
    <cellStyle name="_KT_TG_2_Book1_4" xfId="246"/>
    <cellStyle name="_KT_TG_2_DTCDT MR.2N110.HOCMON.TDTOAN.CCUNG" xfId="247"/>
    <cellStyle name="_KT_TG_2_Lora-tungchau" xfId="248"/>
    <cellStyle name="_KT_TG_2_PGIA-phieu tham tra Kho bac" xfId="249"/>
    <cellStyle name="_KT_TG_2_PT02-02" xfId="250"/>
    <cellStyle name="_KT_TG_2_PT02-02_Book1" xfId="251"/>
    <cellStyle name="_KT_TG_2_PT02-03" xfId="252"/>
    <cellStyle name="_KT_TG_2_PT02-03_Book1" xfId="253"/>
    <cellStyle name="_KT_TG_2_Qt-HT3PQ1(CauKho)" xfId="254"/>
    <cellStyle name="_KT_TG_2_tong hop NTM cac xa 2019 (3)" xfId="255"/>
    <cellStyle name="_KT_TG_3" xfId="256"/>
    <cellStyle name="_KT_TG_3 1" xfId="257"/>
    <cellStyle name="_KT_TG_3 2" xfId="258"/>
    <cellStyle name="_KT_TG_3 3" xfId="259"/>
    <cellStyle name="_KT_TG_3 4" xfId="260"/>
    <cellStyle name="_KT_TG_3 5" xfId="261"/>
    <cellStyle name="_KT_TG_3_Bao cao tien do thuc hien chi dao va ket qua thu hoi NQH" xfId="262"/>
    <cellStyle name="_KT_TG_3_tong hop NTM cac xa 2019 (3)" xfId="263"/>
    <cellStyle name="_KT_TG_4" xfId="264"/>
    <cellStyle name="_KT_TG_4 1" xfId="265"/>
    <cellStyle name="_KT_TG_4 2" xfId="266"/>
    <cellStyle name="_KT_TG_4 3" xfId="267"/>
    <cellStyle name="_KT_TG_4 4" xfId="268"/>
    <cellStyle name="_KT_TG_4 5" xfId="269"/>
    <cellStyle name="_KT_TG_4_Bao cao tien do thuc hien chi dao va ket qua thu hoi NQH" xfId="270"/>
    <cellStyle name="_KT_TG_4_Lora-tungchau" xfId="271"/>
    <cellStyle name="_KT_TG_4_Qt-HT3PQ1(CauKho)" xfId="272"/>
    <cellStyle name="_KT_TG_4_tong hop NTM cac xa 2019 (3)" xfId="273"/>
    <cellStyle name="_KT_TG_Bao cao tien do thuc hien chi dao va ket qua thu hoi NQH" xfId="274"/>
    <cellStyle name="_KT_TG_tong hop NTM cac xa 2019 (3)" xfId="275"/>
    <cellStyle name="_Lora-tungchau" xfId="276"/>
    <cellStyle name="_PERSONAL" xfId="277"/>
    <cellStyle name="_PERSONAL_HTQ.8 GD1" xfId="278"/>
    <cellStyle name="_PERSONAL_Tong hop KHCB 2001" xfId="279"/>
    <cellStyle name="_Qt-HT3PQ1(CauKho)" xfId="280"/>
    <cellStyle name="_SO T11" xfId="281"/>
    <cellStyle name="_SO T11 1" xfId="282"/>
    <cellStyle name="_SO T11 2" xfId="283"/>
    <cellStyle name="_SO T11 3" xfId="284"/>
    <cellStyle name="_SO T11 4" xfId="285"/>
    <cellStyle name="_SO T11 5" xfId="286"/>
    <cellStyle name="_SO T11_Bao cao tien do thuc hien chi dao va ket qua thu hoi NQH" xfId="287"/>
    <cellStyle name="_TG-TH" xfId="288"/>
    <cellStyle name="_TG-TH 1" xfId="289"/>
    <cellStyle name="_TG-TH 2" xfId="290"/>
    <cellStyle name="_TG-TH 3" xfId="291"/>
    <cellStyle name="_TG-TH 4" xfId="292"/>
    <cellStyle name="_TG-TH 5" xfId="293"/>
    <cellStyle name="_TG-TH_1" xfId="294"/>
    <cellStyle name="_TG-TH_1 1" xfId="295"/>
    <cellStyle name="_TG-TH_1 2" xfId="296"/>
    <cellStyle name="_TG-TH_1 3" xfId="297"/>
    <cellStyle name="_TG-TH_1 4" xfId="298"/>
    <cellStyle name="_TG-TH_1 5" xfId="299"/>
    <cellStyle name="_TG-TH_1_BAO CAO KLCT PT2000" xfId="300"/>
    <cellStyle name="_TG-TH_1_BAO CAO PT2000" xfId="301"/>
    <cellStyle name="_TG-TH_1_BAO CAO PT2000_Book1" xfId="302"/>
    <cellStyle name="_TG-TH_1_Bao cao tien do thuc hien chi dao va ket qua thu hoi NQH" xfId="303"/>
    <cellStyle name="_TG-TH_1_Bao cao XDCB 2001 - T11 KH dieu chinh 20-11-THAI" xfId="304"/>
    <cellStyle name="_TG-TH_1_Book1" xfId="305"/>
    <cellStyle name="_TG-TH_1_Book1_1" xfId="306"/>
    <cellStyle name="_TG-TH_1_Book1_2" xfId="307"/>
    <cellStyle name="_TG-TH_1_Book1_3" xfId="308"/>
    <cellStyle name="_TG-TH_1_Book1_4" xfId="309"/>
    <cellStyle name="_TG-TH_1_Book1_BC-QT-WB-dthao" xfId="310"/>
    <cellStyle name="_TG-TH_1_DTCDT MR.2N110.HOCMON.TDTOAN.CCUNG" xfId="311"/>
    <cellStyle name="_TG-TH_1_Lora-tungchau" xfId="312"/>
    <cellStyle name="_TG-TH_1_PGIA-phieu tham tra Kho bac" xfId="313"/>
    <cellStyle name="_TG-TH_1_PT02-02" xfId="314"/>
    <cellStyle name="_TG-TH_1_PT02-02_Book1" xfId="315"/>
    <cellStyle name="_TG-TH_1_PT02-03" xfId="316"/>
    <cellStyle name="_TG-TH_1_PT02-03_Book1" xfId="317"/>
    <cellStyle name="_TG-TH_1_Qt-HT3PQ1(CauKho)" xfId="318"/>
    <cellStyle name="_TG-TH_1_tong hop NTM cac xa 2019 (3)" xfId="319"/>
    <cellStyle name="_TG-TH_2" xfId="320"/>
    <cellStyle name="_TG-TH_2 1" xfId="321"/>
    <cellStyle name="_TG-TH_2 2" xfId="322"/>
    <cellStyle name="_TG-TH_2 3" xfId="323"/>
    <cellStyle name="_TG-TH_2 4" xfId="324"/>
    <cellStyle name="_TG-TH_2 5" xfId="325"/>
    <cellStyle name="_TG-TH_2_BAO CAO KLCT PT2000" xfId="326"/>
    <cellStyle name="_TG-TH_2_BAO CAO PT2000" xfId="327"/>
    <cellStyle name="_TG-TH_2_BAO CAO PT2000_Book1" xfId="328"/>
    <cellStyle name="_TG-TH_2_Bao cao tien do thuc hien chi dao va ket qua thu hoi NQH" xfId="329"/>
    <cellStyle name="_TG-TH_2_Bao cao XDCB 2001 - T11 KH dieu chinh 20-11-THAI" xfId="330"/>
    <cellStyle name="_TG-TH_2_Book1" xfId="331"/>
    <cellStyle name="_TG-TH_2_Book1_1" xfId="332"/>
    <cellStyle name="_TG-TH_2_Book1_2" xfId="333"/>
    <cellStyle name="_TG-TH_2_Book1_3" xfId="334"/>
    <cellStyle name="_TG-TH_2_Book1_4" xfId="335"/>
    <cellStyle name="_TG-TH_2_DTCDT MR.2N110.HOCMON.TDTOAN.CCUNG" xfId="336"/>
    <cellStyle name="_TG-TH_2_Lora-tungchau" xfId="337"/>
    <cellStyle name="_TG-TH_2_PGIA-phieu tham tra Kho bac" xfId="338"/>
    <cellStyle name="_TG-TH_2_PT02-02" xfId="339"/>
    <cellStyle name="_TG-TH_2_PT02-02_Book1" xfId="340"/>
    <cellStyle name="_TG-TH_2_PT02-03" xfId="341"/>
    <cellStyle name="_TG-TH_2_PT02-03_Book1" xfId="342"/>
    <cellStyle name="_TG-TH_2_Qt-HT3PQ1(CauKho)" xfId="343"/>
    <cellStyle name="_TG-TH_2_tong hop NTM cac xa 2019 (3)" xfId="344"/>
    <cellStyle name="_TG-TH_3" xfId="345"/>
    <cellStyle name="_TG-TH_3 1" xfId="346"/>
    <cellStyle name="_TG-TH_3 2" xfId="347"/>
    <cellStyle name="_TG-TH_3 3" xfId="348"/>
    <cellStyle name="_TG-TH_3 4" xfId="349"/>
    <cellStyle name="_TG-TH_3 5" xfId="350"/>
    <cellStyle name="_TG-TH_3_Bao cao tien do thuc hien chi dao va ket qua thu hoi NQH" xfId="351"/>
    <cellStyle name="_TG-TH_3_Lora-tungchau" xfId="352"/>
    <cellStyle name="_TG-TH_3_Qt-HT3PQ1(CauKho)" xfId="353"/>
    <cellStyle name="_TG-TH_3_tong hop NTM cac xa 2019 (3)" xfId="354"/>
    <cellStyle name="_TG-TH_4" xfId="355"/>
    <cellStyle name="_TG-TH_4 1" xfId="356"/>
    <cellStyle name="_TG-TH_4 2" xfId="357"/>
    <cellStyle name="_TG-TH_4 3" xfId="358"/>
    <cellStyle name="_TG-TH_4 4" xfId="359"/>
    <cellStyle name="_TG-TH_4 5" xfId="360"/>
    <cellStyle name="_TG-TH_4_Bao cao tien do thuc hien chi dao va ket qua thu hoi NQH" xfId="361"/>
    <cellStyle name="_TG-TH_4_tong hop NTM cac xa 2019 (3)" xfId="362"/>
    <cellStyle name="_TG-TH_Bao cao tien do thuc hien chi dao va ket qua thu hoi NQH" xfId="363"/>
    <cellStyle name="_TG-TH_tong hop NTM cac xa 2019 (3)" xfId="364"/>
    <cellStyle name="_x005f_x0001_" xfId="365"/>
    <cellStyle name="_x005f_x0001_ 1" xfId="366"/>
    <cellStyle name="_x005f_x0001_ 2" xfId="367"/>
    <cellStyle name="’Ê‰Ý [0.00]_laroux" xfId="368"/>
    <cellStyle name="’Ê‰Ý_laroux" xfId="369"/>
    <cellStyle name="»õ±Ò[0]_Sheet1" xfId="370"/>
    <cellStyle name="»õ±Ò_Sheet1" xfId="371"/>
    <cellStyle name="•W€_¯–ì" xfId="372"/>
    <cellStyle name="1" xfId="373"/>
    <cellStyle name="1 1" xfId="374"/>
    <cellStyle name="1 2" xfId="375"/>
    <cellStyle name="1 3" xfId="376"/>
    <cellStyle name="1 4" xfId="377"/>
    <cellStyle name="1 5" xfId="378"/>
    <cellStyle name="1_Bao cao tien do thuc hien chi dao va ket qua thu hoi NQH" xfId="379"/>
    <cellStyle name="1_Thanh toan GD 2" xfId="380"/>
    <cellStyle name="¹éºÐÀ²_      " xfId="381"/>
    <cellStyle name="2" xfId="382"/>
    <cellStyle name="2 1" xfId="383"/>
    <cellStyle name="2 2" xfId="384"/>
    <cellStyle name="2 3" xfId="385"/>
    <cellStyle name="2 4" xfId="386"/>
    <cellStyle name="2 5" xfId="387"/>
    <cellStyle name="2_Bao cao tien do thuc hien chi dao va ket qua thu hoi NQH" xfId="388"/>
    <cellStyle name="2_Thanh toan GD 2" xfId="389"/>
    <cellStyle name="20% - Accent1" xfId="390" builtinId="30" customBuiltin="1"/>
    <cellStyle name="20% - Accent1 1" xfId="391"/>
    <cellStyle name="20% - Accent1 1 1" xfId="392"/>
    <cellStyle name="20% - Accent1 1 2" xfId="393"/>
    <cellStyle name="20% - Accent1 1 3" xfId="394"/>
    <cellStyle name="20% - Accent1 1 4" xfId="395"/>
    <cellStyle name="20% - Accent1 1 5" xfId="396"/>
    <cellStyle name="20% - Accent1 2" xfId="397"/>
    <cellStyle name="20% - Accent1 2 1" xfId="398"/>
    <cellStyle name="20% - Accent1 2 2" xfId="399"/>
    <cellStyle name="20% - Accent1 2 3" xfId="400"/>
    <cellStyle name="20% - Accent1 2 4" xfId="401"/>
    <cellStyle name="20% - Accent1 2 5" xfId="402"/>
    <cellStyle name="20% - Accent1 2_Bao cao tien do thuc hien chi dao va ket qua thu hoi NQH" xfId="403"/>
    <cellStyle name="20% - Accent1 3" xfId="404"/>
    <cellStyle name="20% - Accent1 4" xfId="405"/>
    <cellStyle name="20% - Accent2" xfId="406" builtinId="34" customBuiltin="1"/>
    <cellStyle name="20% - Accent2 1" xfId="407"/>
    <cellStyle name="20% - Accent2 1 1" xfId="408"/>
    <cellStyle name="20% - Accent2 1 2" xfId="409"/>
    <cellStyle name="20% - Accent2 1 3" xfId="410"/>
    <cellStyle name="20% - Accent2 1 4" xfId="411"/>
    <cellStyle name="20% - Accent2 1 5" xfId="412"/>
    <cellStyle name="20% - Accent2 2" xfId="413"/>
    <cellStyle name="20% - Accent2 2 1" xfId="414"/>
    <cellStyle name="20% - Accent2 2 2" xfId="415"/>
    <cellStyle name="20% - Accent2 2 3" xfId="416"/>
    <cellStyle name="20% - Accent2 2 4" xfId="417"/>
    <cellStyle name="20% - Accent2 2 5" xfId="418"/>
    <cellStyle name="20% - Accent2 2_Bao cao tien do thuc hien chi dao va ket qua thu hoi NQH" xfId="419"/>
    <cellStyle name="20% - Accent2 3" xfId="420"/>
    <cellStyle name="20% - Accent2 4" xfId="421"/>
    <cellStyle name="20% - Accent3" xfId="422" builtinId="38" customBuiltin="1"/>
    <cellStyle name="20% - Accent3 1" xfId="423"/>
    <cellStyle name="20% - Accent3 1 1" xfId="424"/>
    <cellStyle name="20% - Accent3 1 2" xfId="425"/>
    <cellStyle name="20% - Accent3 1 3" xfId="426"/>
    <cellStyle name="20% - Accent3 1 4" xfId="427"/>
    <cellStyle name="20% - Accent3 1 5" xfId="428"/>
    <cellStyle name="20% - Accent3 2" xfId="429"/>
    <cellStyle name="20% - Accent3 2 1" xfId="430"/>
    <cellStyle name="20% - Accent3 2 2" xfId="431"/>
    <cellStyle name="20% - Accent3 2 3" xfId="432"/>
    <cellStyle name="20% - Accent3 2 4" xfId="433"/>
    <cellStyle name="20% - Accent3 2 5" xfId="434"/>
    <cellStyle name="20% - Accent3 2_Bao cao tien do thuc hien chi dao va ket qua thu hoi NQH" xfId="435"/>
    <cellStyle name="20% - Accent3 3" xfId="436"/>
    <cellStyle name="20% - Accent3 4" xfId="437"/>
    <cellStyle name="20% - Accent4" xfId="438" builtinId="42" customBuiltin="1"/>
    <cellStyle name="20% - Accent4 1" xfId="439"/>
    <cellStyle name="20% - Accent4 1 1" xfId="440"/>
    <cellStyle name="20% - Accent4 1 2" xfId="441"/>
    <cellStyle name="20% - Accent4 1 3" xfId="442"/>
    <cellStyle name="20% - Accent4 1 4" xfId="443"/>
    <cellStyle name="20% - Accent4 1 5" xfId="444"/>
    <cellStyle name="20% - Accent4 2" xfId="445"/>
    <cellStyle name="20% - Accent4 2 1" xfId="446"/>
    <cellStyle name="20% - Accent4 2 2" xfId="447"/>
    <cellStyle name="20% - Accent4 2 3" xfId="448"/>
    <cellStyle name="20% - Accent4 2 4" xfId="449"/>
    <cellStyle name="20% - Accent4 2 5" xfId="450"/>
    <cellStyle name="20% - Accent4 2_Bao cao tien do thuc hien chi dao va ket qua thu hoi NQH" xfId="451"/>
    <cellStyle name="20% - Accent4 3" xfId="452"/>
    <cellStyle name="20% - Accent4 4" xfId="453"/>
    <cellStyle name="20% - Accent5" xfId="454" builtinId="46" customBuiltin="1"/>
    <cellStyle name="20% - Accent5 1" xfId="455"/>
    <cellStyle name="20% - Accent5 1 1" xfId="456"/>
    <cellStyle name="20% - Accent5 1 2" xfId="457"/>
    <cellStyle name="20% - Accent5 1 3" xfId="458"/>
    <cellStyle name="20% - Accent5 1 4" xfId="459"/>
    <cellStyle name="20% - Accent5 1 5" xfId="460"/>
    <cellStyle name="20% - Accent5 2" xfId="461"/>
    <cellStyle name="20% - Accent5 2 1" xfId="462"/>
    <cellStyle name="20% - Accent5 2 2" xfId="463"/>
    <cellStyle name="20% - Accent5 2 3" xfId="464"/>
    <cellStyle name="20% - Accent5 2 4" xfId="465"/>
    <cellStyle name="20% - Accent5 2 5" xfId="466"/>
    <cellStyle name="20% - Accent5 2_Bao cao tien do thuc hien chi dao va ket qua thu hoi NQH" xfId="467"/>
    <cellStyle name="20% - Accent5 3" xfId="468"/>
    <cellStyle name="20% - Accent5 4" xfId="469"/>
    <cellStyle name="20% - Accent6" xfId="470" builtinId="50" customBuiltin="1"/>
    <cellStyle name="20% - Accent6 1" xfId="471"/>
    <cellStyle name="20% - Accent6 1 1" xfId="472"/>
    <cellStyle name="20% - Accent6 1 2" xfId="473"/>
    <cellStyle name="20% - Accent6 1 3" xfId="474"/>
    <cellStyle name="20% - Accent6 1 4" xfId="475"/>
    <cellStyle name="20% - Accent6 1 5" xfId="476"/>
    <cellStyle name="20% - Accent6 2" xfId="477"/>
    <cellStyle name="20% - Accent6 2 1" xfId="478"/>
    <cellStyle name="20% - Accent6 2 2" xfId="479"/>
    <cellStyle name="20% - Accent6 2 3" xfId="480"/>
    <cellStyle name="20% - Accent6 2 4" xfId="481"/>
    <cellStyle name="20% - Accent6 2 5" xfId="482"/>
    <cellStyle name="20% - Accent6 2_Bao cao tien do thuc hien chi dao va ket qua thu hoi NQH" xfId="483"/>
    <cellStyle name="20% - Accent6 3" xfId="484"/>
    <cellStyle name="20% - Accent6 4" xfId="485"/>
    <cellStyle name="3" xfId="486"/>
    <cellStyle name="3 1" xfId="487"/>
    <cellStyle name="3 2" xfId="488"/>
    <cellStyle name="3 3" xfId="489"/>
    <cellStyle name="3 4" xfId="490"/>
    <cellStyle name="3 5" xfId="491"/>
    <cellStyle name="3_Bao cao tien do thuc hien chi dao va ket qua thu hoi NQH" xfId="492"/>
    <cellStyle name="3_Thanh toan GD 2" xfId="493"/>
    <cellStyle name="³£¹æ_GZ TV" xfId="494"/>
    <cellStyle name="4" xfId="495"/>
    <cellStyle name="4 1" xfId="496"/>
    <cellStyle name="4 2" xfId="497"/>
    <cellStyle name="4 3" xfId="498"/>
    <cellStyle name="4 4" xfId="499"/>
    <cellStyle name="4 5" xfId="500"/>
    <cellStyle name="40% - Accent1" xfId="501" builtinId="31" customBuiltin="1"/>
    <cellStyle name="40% - Accent1 1" xfId="502"/>
    <cellStyle name="40% - Accent1 1 1" xfId="503"/>
    <cellStyle name="40% - Accent1 1 2" xfId="504"/>
    <cellStyle name="40% - Accent1 1 3" xfId="505"/>
    <cellStyle name="40% - Accent1 1 4" xfId="506"/>
    <cellStyle name="40% - Accent1 1 5" xfId="507"/>
    <cellStyle name="40% - Accent1 2" xfId="508"/>
    <cellStyle name="40% - Accent1 2 1" xfId="509"/>
    <cellStyle name="40% - Accent1 2 2" xfId="510"/>
    <cellStyle name="40% - Accent1 2 3" xfId="511"/>
    <cellStyle name="40% - Accent1 2 4" xfId="512"/>
    <cellStyle name="40% - Accent1 2 5" xfId="513"/>
    <cellStyle name="40% - Accent1 2_Bao cao tien do thuc hien chi dao va ket qua thu hoi NQH" xfId="514"/>
    <cellStyle name="40% - Accent1 3" xfId="515"/>
    <cellStyle name="40% - Accent1 4" xfId="516"/>
    <cellStyle name="40% - Accent2" xfId="517" builtinId="35" customBuiltin="1"/>
    <cellStyle name="40% - Accent2 1" xfId="518"/>
    <cellStyle name="40% - Accent2 1 1" xfId="519"/>
    <cellStyle name="40% - Accent2 1 2" xfId="520"/>
    <cellStyle name="40% - Accent2 1 3" xfId="521"/>
    <cellStyle name="40% - Accent2 1 4" xfId="522"/>
    <cellStyle name="40% - Accent2 1 5" xfId="523"/>
    <cellStyle name="40% - Accent2 2" xfId="524"/>
    <cellStyle name="40% - Accent2 2 1" xfId="525"/>
    <cellStyle name="40% - Accent2 2 2" xfId="526"/>
    <cellStyle name="40% - Accent2 2 3" xfId="527"/>
    <cellStyle name="40% - Accent2 2 4" xfId="528"/>
    <cellStyle name="40% - Accent2 2 5" xfId="529"/>
    <cellStyle name="40% - Accent2 2_Bao cao tien do thuc hien chi dao va ket qua thu hoi NQH" xfId="530"/>
    <cellStyle name="40% - Accent2 3" xfId="531"/>
    <cellStyle name="40% - Accent2 4" xfId="532"/>
    <cellStyle name="40% - Accent3" xfId="533" builtinId="39" customBuiltin="1"/>
    <cellStyle name="40% - Accent3 1" xfId="534"/>
    <cellStyle name="40% - Accent3 1 1" xfId="535"/>
    <cellStyle name="40% - Accent3 1 2" xfId="536"/>
    <cellStyle name="40% - Accent3 1 3" xfId="537"/>
    <cellStyle name="40% - Accent3 1 4" xfId="538"/>
    <cellStyle name="40% - Accent3 1 5" xfId="539"/>
    <cellStyle name="40% - Accent3 2" xfId="540"/>
    <cellStyle name="40% - Accent3 2 1" xfId="541"/>
    <cellStyle name="40% - Accent3 2 2" xfId="542"/>
    <cellStyle name="40% - Accent3 2 3" xfId="543"/>
    <cellStyle name="40% - Accent3 2 4" xfId="544"/>
    <cellStyle name="40% - Accent3 2 5" xfId="545"/>
    <cellStyle name="40% - Accent3 2_Bao cao tien do thuc hien chi dao va ket qua thu hoi NQH" xfId="546"/>
    <cellStyle name="40% - Accent3 3" xfId="547"/>
    <cellStyle name="40% - Accent3 4" xfId="548"/>
    <cellStyle name="40% - Accent4" xfId="549" builtinId="43" customBuiltin="1"/>
    <cellStyle name="40% - Accent4 1" xfId="550"/>
    <cellStyle name="40% - Accent4 1 1" xfId="551"/>
    <cellStyle name="40% - Accent4 1 2" xfId="552"/>
    <cellStyle name="40% - Accent4 1 3" xfId="553"/>
    <cellStyle name="40% - Accent4 1 4" xfId="554"/>
    <cellStyle name="40% - Accent4 1 5" xfId="555"/>
    <cellStyle name="40% - Accent4 2" xfId="556"/>
    <cellStyle name="40% - Accent4 2 1" xfId="557"/>
    <cellStyle name="40% - Accent4 2 2" xfId="558"/>
    <cellStyle name="40% - Accent4 2 3" xfId="559"/>
    <cellStyle name="40% - Accent4 2 4" xfId="560"/>
    <cellStyle name="40% - Accent4 2 5" xfId="561"/>
    <cellStyle name="40% - Accent4 2_Bao cao tien do thuc hien chi dao va ket qua thu hoi NQH" xfId="562"/>
    <cellStyle name="40% - Accent4 3" xfId="563"/>
    <cellStyle name="40% - Accent4 4" xfId="564"/>
    <cellStyle name="40% - Accent5" xfId="565" builtinId="47" customBuiltin="1"/>
    <cellStyle name="40% - Accent5 1" xfId="566"/>
    <cellStyle name="40% - Accent5 1 1" xfId="567"/>
    <cellStyle name="40% - Accent5 1 2" xfId="568"/>
    <cellStyle name="40% - Accent5 1 3" xfId="569"/>
    <cellStyle name="40% - Accent5 1 4" xfId="570"/>
    <cellStyle name="40% - Accent5 1 5" xfId="571"/>
    <cellStyle name="40% - Accent5 2" xfId="572"/>
    <cellStyle name="40% - Accent5 2 1" xfId="573"/>
    <cellStyle name="40% - Accent5 2 2" xfId="574"/>
    <cellStyle name="40% - Accent5 2 3" xfId="575"/>
    <cellStyle name="40% - Accent5 2 4" xfId="576"/>
    <cellStyle name="40% - Accent5 2 5" xfId="577"/>
    <cellStyle name="40% - Accent5 2_Bao cao tien do thuc hien chi dao va ket qua thu hoi NQH" xfId="578"/>
    <cellStyle name="40% - Accent5 3" xfId="579"/>
    <cellStyle name="40% - Accent5 4" xfId="580"/>
    <cellStyle name="40% - Accent6" xfId="581" builtinId="51" customBuiltin="1"/>
    <cellStyle name="40% - Accent6 1" xfId="582"/>
    <cellStyle name="40% - Accent6 1 1" xfId="583"/>
    <cellStyle name="40% - Accent6 1 2" xfId="584"/>
    <cellStyle name="40% - Accent6 1 3" xfId="585"/>
    <cellStyle name="40% - Accent6 1 4" xfId="586"/>
    <cellStyle name="40% - Accent6 1 5" xfId="587"/>
    <cellStyle name="40% - Accent6 2" xfId="588"/>
    <cellStyle name="40% - Accent6 2 1" xfId="589"/>
    <cellStyle name="40% - Accent6 2 2" xfId="590"/>
    <cellStyle name="40% - Accent6 2 3" xfId="591"/>
    <cellStyle name="40% - Accent6 2 4" xfId="592"/>
    <cellStyle name="40% - Accent6 2 5" xfId="593"/>
    <cellStyle name="40% - Accent6 2_Bao cao tien do thuc hien chi dao va ket qua thu hoi NQH" xfId="594"/>
    <cellStyle name="40% - Accent6 3" xfId="595"/>
    <cellStyle name="40% - Accent6 4" xfId="596"/>
    <cellStyle name="52" xfId="597"/>
    <cellStyle name="60% - Accent1" xfId="598" builtinId="32" customBuiltin="1"/>
    <cellStyle name="60% - Accent1 1" xfId="599"/>
    <cellStyle name="60% - Accent1 1 1" xfId="600"/>
    <cellStyle name="60% - Accent1 1 2" xfId="601"/>
    <cellStyle name="60% - Accent1 1 3" xfId="602"/>
    <cellStyle name="60% - Accent1 1 4" xfId="603"/>
    <cellStyle name="60% - Accent1 1 5" xfId="604"/>
    <cellStyle name="60% - Accent1 2" xfId="605"/>
    <cellStyle name="60% - Accent1 2 1" xfId="606"/>
    <cellStyle name="60% - Accent1 2 2" xfId="607"/>
    <cellStyle name="60% - Accent1 2 3" xfId="608"/>
    <cellStyle name="60% - Accent1 2 4" xfId="609"/>
    <cellStyle name="60% - Accent1 2 5" xfId="610"/>
    <cellStyle name="60% - Accent1 2_Bao cao tien do thuc hien chi dao va ket qua thu hoi NQH" xfId="611"/>
    <cellStyle name="60% - Accent1 3" xfId="612"/>
    <cellStyle name="60% - Accent1 4" xfId="613"/>
    <cellStyle name="60% - Accent2" xfId="614" builtinId="36" customBuiltin="1"/>
    <cellStyle name="60% - Accent2 1" xfId="615"/>
    <cellStyle name="60% - Accent2 1 1" xfId="616"/>
    <cellStyle name="60% - Accent2 1 2" xfId="617"/>
    <cellStyle name="60% - Accent2 1 3" xfId="618"/>
    <cellStyle name="60% - Accent2 1 4" xfId="619"/>
    <cellStyle name="60% - Accent2 1 5" xfId="620"/>
    <cellStyle name="60% - Accent2 2" xfId="621"/>
    <cellStyle name="60% - Accent2 2 1" xfId="622"/>
    <cellStyle name="60% - Accent2 2 2" xfId="623"/>
    <cellStyle name="60% - Accent2 2 3" xfId="624"/>
    <cellStyle name="60% - Accent2 2 4" xfId="625"/>
    <cellStyle name="60% - Accent2 2 5" xfId="626"/>
    <cellStyle name="60% - Accent2 2_Bao cao tien do thuc hien chi dao va ket qua thu hoi NQH" xfId="627"/>
    <cellStyle name="60% - Accent2 3" xfId="628"/>
    <cellStyle name="60% - Accent2 4" xfId="629"/>
    <cellStyle name="60% - Accent3" xfId="630" builtinId="40" customBuiltin="1"/>
    <cellStyle name="60% - Accent3 1" xfId="631"/>
    <cellStyle name="60% - Accent3 1 1" xfId="632"/>
    <cellStyle name="60% - Accent3 1 2" xfId="633"/>
    <cellStyle name="60% - Accent3 1 3" xfId="634"/>
    <cellStyle name="60% - Accent3 1 4" xfId="635"/>
    <cellStyle name="60% - Accent3 1 5" xfId="636"/>
    <cellStyle name="60% - Accent3 2" xfId="637"/>
    <cellStyle name="60% - Accent3 2 1" xfId="638"/>
    <cellStyle name="60% - Accent3 2 2" xfId="639"/>
    <cellStyle name="60% - Accent3 2 3" xfId="640"/>
    <cellStyle name="60% - Accent3 2 4" xfId="641"/>
    <cellStyle name="60% - Accent3 2 5" xfId="642"/>
    <cellStyle name="60% - Accent3 2_Bao cao tien do thuc hien chi dao va ket qua thu hoi NQH" xfId="643"/>
    <cellStyle name="60% - Accent3 3" xfId="644"/>
    <cellStyle name="60% - Accent3 4" xfId="645"/>
    <cellStyle name="60% - Accent4" xfId="646" builtinId="44" customBuiltin="1"/>
    <cellStyle name="60% - Accent4 1" xfId="647"/>
    <cellStyle name="60% - Accent4 1 1" xfId="648"/>
    <cellStyle name="60% - Accent4 1 2" xfId="649"/>
    <cellStyle name="60% - Accent4 1 3" xfId="650"/>
    <cellStyle name="60% - Accent4 1 4" xfId="651"/>
    <cellStyle name="60% - Accent4 1 5" xfId="652"/>
    <cellStyle name="60% - Accent4 2" xfId="653"/>
    <cellStyle name="60% - Accent4 2 1" xfId="654"/>
    <cellStyle name="60% - Accent4 2 2" xfId="655"/>
    <cellStyle name="60% - Accent4 2 3" xfId="656"/>
    <cellStyle name="60% - Accent4 2 4" xfId="657"/>
    <cellStyle name="60% - Accent4 2 5" xfId="658"/>
    <cellStyle name="60% - Accent4 2_Bao cao tien do thuc hien chi dao va ket qua thu hoi NQH" xfId="659"/>
    <cellStyle name="60% - Accent4 3" xfId="660"/>
    <cellStyle name="60% - Accent4 4" xfId="661"/>
    <cellStyle name="60% - Accent5" xfId="662" builtinId="48" customBuiltin="1"/>
    <cellStyle name="60% - Accent5 1" xfId="663"/>
    <cellStyle name="60% - Accent5 1 1" xfId="664"/>
    <cellStyle name="60% - Accent5 1 2" xfId="665"/>
    <cellStyle name="60% - Accent5 1 3" xfId="666"/>
    <cellStyle name="60% - Accent5 1 4" xfId="667"/>
    <cellStyle name="60% - Accent5 1 5" xfId="668"/>
    <cellStyle name="60% - Accent5 2" xfId="669"/>
    <cellStyle name="60% - Accent5 2 1" xfId="670"/>
    <cellStyle name="60% - Accent5 2 2" xfId="671"/>
    <cellStyle name="60% - Accent5 2 3" xfId="672"/>
    <cellStyle name="60% - Accent5 2 4" xfId="673"/>
    <cellStyle name="60% - Accent5 2 5" xfId="674"/>
    <cellStyle name="60% - Accent5 2_Bao cao tien do thuc hien chi dao va ket qua thu hoi NQH" xfId="675"/>
    <cellStyle name="60% - Accent5 3" xfId="676"/>
    <cellStyle name="60% - Accent5 4" xfId="677"/>
    <cellStyle name="60% - Accent6" xfId="678" builtinId="52" customBuiltin="1"/>
    <cellStyle name="60% - Accent6 1" xfId="679"/>
    <cellStyle name="60% - Accent6 1 1" xfId="680"/>
    <cellStyle name="60% - Accent6 1 2" xfId="681"/>
    <cellStyle name="60% - Accent6 1 3" xfId="682"/>
    <cellStyle name="60% - Accent6 1 4" xfId="683"/>
    <cellStyle name="60% - Accent6 1 5" xfId="684"/>
    <cellStyle name="60% - Accent6 2" xfId="685"/>
    <cellStyle name="60% - Accent6 2 1" xfId="686"/>
    <cellStyle name="60% - Accent6 2 2" xfId="687"/>
    <cellStyle name="60% - Accent6 2 3" xfId="688"/>
    <cellStyle name="60% - Accent6 2 4" xfId="689"/>
    <cellStyle name="60% - Accent6 2 5" xfId="690"/>
    <cellStyle name="60% - Accent6 2_Bao cao tien do thuc hien chi dao va ket qua thu hoi NQH" xfId="691"/>
    <cellStyle name="60% - Accent6 3" xfId="692"/>
    <cellStyle name="60% - Accent6 4" xfId="693"/>
    <cellStyle name="a" xfId="694"/>
    <cellStyle name="Accent1" xfId="695" builtinId="29" customBuiltin="1"/>
    <cellStyle name="Accent1 1" xfId="696"/>
    <cellStyle name="Accent1 1 1" xfId="697"/>
    <cellStyle name="Accent1 1 2" xfId="698"/>
    <cellStyle name="Accent1 1 3" xfId="699"/>
    <cellStyle name="Accent1 1 4" xfId="700"/>
    <cellStyle name="Accent1 1 5" xfId="701"/>
    <cellStyle name="Accent1 2" xfId="702"/>
    <cellStyle name="Accent1 2 1" xfId="703"/>
    <cellStyle name="Accent1 2 2" xfId="704"/>
    <cellStyle name="Accent1 2 3" xfId="705"/>
    <cellStyle name="Accent1 2 4" xfId="706"/>
    <cellStyle name="Accent1 2 5" xfId="707"/>
    <cellStyle name="Accent1 2_Bao cao tien do thuc hien chi dao va ket qua thu hoi NQH" xfId="708"/>
    <cellStyle name="Accent1 3" xfId="709"/>
    <cellStyle name="Accent1 4" xfId="710"/>
    <cellStyle name="Accent2" xfId="711" builtinId="33" customBuiltin="1"/>
    <cellStyle name="Accent2 1" xfId="712"/>
    <cellStyle name="Accent2 1 1" xfId="713"/>
    <cellStyle name="Accent2 1 2" xfId="714"/>
    <cellStyle name="Accent2 1 3" xfId="715"/>
    <cellStyle name="Accent2 1 4" xfId="716"/>
    <cellStyle name="Accent2 1 5" xfId="717"/>
    <cellStyle name="Accent2 2" xfId="718"/>
    <cellStyle name="Accent2 2 1" xfId="719"/>
    <cellStyle name="Accent2 2 2" xfId="720"/>
    <cellStyle name="Accent2 2 3" xfId="721"/>
    <cellStyle name="Accent2 2 4" xfId="722"/>
    <cellStyle name="Accent2 2 5" xfId="723"/>
    <cellStyle name="Accent2 2_Bao cao tien do thuc hien chi dao va ket qua thu hoi NQH" xfId="724"/>
    <cellStyle name="Accent2 3" xfId="725"/>
    <cellStyle name="Accent2 4" xfId="726"/>
    <cellStyle name="Accent3" xfId="727" builtinId="37" customBuiltin="1"/>
    <cellStyle name="Accent3 1" xfId="728"/>
    <cellStyle name="Accent3 1 1" xfId="729"/>
    <cellStyle name="Accent3 1 2" xfId="730"/>
    <cellStyle name="Accent3 1 3" xfId="731"/>
    <cellStyle name="Accent3 1 4" xfId="732"/>
    <cellStyle name="Accent3 1 5" xfId="733"/>
    <cellStyle name="Accent3 2" xfId="734"/>
    <cellStyle name="Accent3 2 1" xfId="735"/>
    <cellStyle name="Accent3 2 2" xfId="736"/>
    <cellStyle name="Accent3 2 3" xfId="737"/>
    <cellStyle name="Accent3 2 4" xfId="738"/>
    <cellStyle name="Accent3 2 5" xfId="739"/>
    <cellStyle name="Accent3 2_Bao cao tien do thuc hien chi dao va ket qua thu hoi NQH" xfId="740"/>
    <cellStyle name="Accent3 3" xfId="741"/>
    <cellStyle name="Accent3 4" xfId="742"/>
    <cellStyle name="Accent4" xfId="743" builtinId="41" customBuiltin="1"/>
    <cellStyle name="Accent4 1" xfId="744"/>
    <cellStyle name="Accent4 1 1" xfId="745"/>
    <cellStyle name="Accent4 1 2" xfId="746"/>
    <cellStyle name="Accent4 1 3" xfId="747"/>
    <cellStyle name="Accent4 1 4" xfId="748"/>
    <cellStyle name="Accent4 1 5" xfId="749"/>
    <cellStyle name="Accent4 2" xfId="750"/>
    <cellStyle name="Accent4 2 1" xfId="751"/>
    <cellStyle name="Accent4 2 2" xfId="752"/>
    <cellStyle name="Accent4 2 3" xfId="753"/>
    <cellStyle name="Accent4 2 4" xfId="754"/>
    <cellStyle name="Accent4 2 5" xfId="755"/>
    <cellStyle name="Accent4 2_Bao cao tien do thuc hien chi dao va ket qua thu hoi NQH" xfId="756"/>
    <cellStyle name="Accent4 3" xfId="757"/>
    <cellStyle name="Accent4 4" xfId="758"/>
    <cellStyle name="Accent5" xfId="759" builtinId="45" customBuiltin="1"/>
    <cellStyle name="Accent5 1" xfId="760"/>
    <cellStyle name="Accent5 1 1" xfId="761"/>
    <cellStyle name="Accent5 1 2" xfId="762"/>
    <cellStyle name="Accent5 1 3" xfId="763"/>
    <cellStyle name="Accent5 1 4" xfId="764"/>
    <cellStyle name="Accent5 1 5" xfId="765"/>
    <cellStyle name="Accent5 2" xfId="766"/>
    <cellStyle name="Accent5 2 1" xfId="767"/>
    <cellStyle name="Accent5 2 2" xfId="768"/>
    <cellStyle name="Accent5 2 3" xfId="769"/>
    <cellStyle name="Accent5 2 4" xfId="770"/>
    <cellStyle name="Accent5 2 5" xfId="771"/>
    <cellStyle name="Accent5 2_Bao cao tien do thuc hien chi dao va ket qua thu hoi NQH" xfId="772"/>
    <cellStyle name="Accent5 3" xfId="773"/>
    <cellStyle name="Accent5 4" xfId="774"/>
    <cellStyle name="Accent6" xfId="775" builtinId="49" customBuiltin="1"/>
    <cellStyle name="Accent6 1" xfId="776"/>
    <cellStyle name="Accent6 1 1" xfId="777"/>
    <cellStyle name="Accent6 1 2" xfId="778"/>
    <cellStyle name="Accent6 1 3" xfId="779"/>
    <cellStyle name="Accent6 1 4" xfId="780"/>
    <cellStyle name="Accent6 1 5" xfId="781"/>
    <cellStyle name="Accent6 2" xfId="782"/>
    <cellStyle name="Accent6 2 1" xfId="783"/>
    <cellStyle name="Accent6 2 2" xfId="784"/>
    <cellStyle name="Accent6 2 3" xfId="785"/>
    <cellStyle name="Accent6 2 4" xfId="786"/>
    <cellStyle name="Accent6 2 5" xfId="787"/>
    <cellStyle name="Accent6 2_Bao cao tien do thuc hien chi dao va ket qua thu hoi NQH" xfId="788"/>
    <cellStyle name="Accent6 3" xfId="789"/>
    <cellStyle name="Accent6 4" xfId="790"/>
    <cellStyle name="active" xfId="791"/>
    <cellStyle name="active 1" xfId="792"/>
    <cellStyle name="active 2" xfId="793"/>
    <cellStyle name="active 3" xfId="794"/>
    <cellStyle name="active 4" xfId="795"/>
    <cellStyle name="active 5" xfId="796"/>
    <cellStyle name="active_Bao cao tien do thuc hien chi dao va ket qua thu hoi NQH" xfId="797"/>
    <cellStyle name="ÅëÈ­ [0]_      " xfId="798"/>
    <cellStyle name="AeE­ [0]_INQUIRY ¿?¾÷AßAø " xfId="799"/>
    <cellStyle name="ÅëÈ­ [0]_ÿÿÿÿÿÿ" xfId="800"/>
    <cellStyle name="ÅëÈ­_      " xfId="801"/>
    <cellStyle name="AeE­_INQUIRY ¿?¾÷AßAø " xfId="802"/>
    <cellStyle name="ÅëÈ­_L601CPT" xfId="803"/>
    <cellStyle name="args.style" xfId="804"/>
    <cellStyle name="args.style 1" xfId="805"/>
    <cellStyle name="args.style 2" xfId="806"/>
    <cellStyle name="args.style 3" xfId="807"/>
    <cellStyle name="args.style 4" xfId="808"/>
    <cellStyle name="args.style 5" xfId="809"/>
    <cellStyle name="args.style_Thanh toan GD 2" xfId="810"/>
    <cellStyle name="ÄÞ¸¶ [0]_      " xfId="811"/>
    <cellStyle name="AÞ¸¶ [0]_INQUIRY ¿?¾÷AßAø " xfId="812"/>
    <cellStyle name="ÄÞ¸¶ [0]_L601CPT" xfId="813"/>
    <cellStyle name="ÄÞ¸¶_      " xfId="814"/>
    <cellStyle name="AÞ¸¶_INQUIRY ¿?¾÷AßAø " xfId="815"/>
    <cellStyle name="ÄÞ¸¶_L601CPT" xfId="816"/>
    <cellStyle name="AutoFormat Options" xfId="817"/>
    <cellStyle name="AutoFormat Options 1" xfId="818"/>
    <cellStyle name="AutoFormat Options 2" xfId="819"/>
    <cellStyle name="AutoFormat Options 3" xfId="820"/>
    <cellStyle name="AutoFormat Options 4" xfId="821"/>
    <cellStyle name="AutoFormat Options 5" xfId="822"/>
    <cellStyle name="AutoFormat Options_Bao cao tien do thuc hien chi dao va ket qua thu hoi NQH" xfId="823"/>
    <cellStyle name="Bad" xfId="824" builtinId="27" customBuiltin="1"/>
    <cellStyle name="Bad 1" xfId="825"/>
    <cellStyle name="Bad 1 1" xfId="826"/>
    <cellStyle name="Bad 1 2" xfId="827"/>
    <cellStyle name="Bad 1 3" xfId="828"/>
    <cellStyle name="Bad 1 4" xfId="829"/>
    <cellStyle name="Bad 1 5" xfId="830"/>
    <cellStyle name="Bad 2" xfId="831"/>
    <cellStyle name="Bad 2 1" xfId="832"/>
    <cellStyle name="Bad 2 2" xfId="833"/>
    <cellStyle name="Bad 2 3" xfId="834"/>
    <cellStyle name="Bad 2 4" xfId="835"/>
    <cellStyle name="Bad 2 5" xfId="836"/>
    <cellStyle name="Bad 2_Bao cao tien do thuc hien chi dao va ket qua thu hoi NQH" xfId="837"/>
    <cellStyle name="Bad 3" xfId="838"/>
    <cellStyle name="Bad 4" xfId="839"/>
    <cellStyle name="Body" xfId="840"/>
    <cellStyle name="C?AØ_¿?¾÷CoE² " xfId="841"/>
    <cellStyle name="Ç¥ÁØ_      " xfId="842"/>
    <cellStyle name="C￥AØ_¿μ¾÷CoE² " xfId="843"/>
    <cellStyle name="Ç¥ÁØ_±¸¹Ì´ëÃ¥" xfId="844"/>
    <cellStyle name="Ç§Î»·Ö¸ô[0]_Sheet1" xfId="845"/>
    <cellStyle name="Ç§Î»·Ö¸ô_Sheet1" xfId="846"/>
    <cellStyle name="Calc Currency (0)" xfId="847"/>
    <cellStyle name="Calc Currency (0) 1" xfId="848"/>
    <cellStyle name="Calc Currency (0) 2" xfId="849"/>
    <cellStyle name="Calc Currency (0) 3" xfId="850"/>
    <cellStyle name="Calc Currency (0) 4" xfId="851"/>
    <cellStyle name="Calc Currency (0) 5" xfId="852"/>
    <cellStyle name="Calc Currency (0)_Bao cao tien do thuc hien chi dao va ket qua thu hoi NQH" xfId="853"/>
    <cellStyle name="Calc Currency (2)" xfId="854"/>
    <cellStyle name="Calc Percent (0)" xfId="855"/>
    <cellStyle name="Calc Percent (1)" xfId="856"/>
    <cellStyle name="Calc Percent (2)" xfId="857"/>
    <cellStyle name="Calc Units (0)" xfId="858"/>
    <cellStyle name="Calc Units (1)" xfId="859"/>
    <cellStyle name="Calc Units (2)" xfId="860"/>
    <cellStyle name="Calculation" xfId="861" builtinId="22" customBuiltin="1"/>
    <cellStyle name="Calculation 1" xfId="862"/>
    <cellStyle name="Calculation 1 1" xfId="863"/>
    <cellStyle name="Calculation 1 2" xfId="864"/>
    <cellStyle name="Calculation 1 3" xfId="865"/>
    <cellStyle name="Calculation 1 4" xfId="866"/>
    <cellStyle name="Calculation 1 5" xfId="867"/>
    <cellStyle name="Calculation 1_Chi tieu KT" xfId="868"/>
    <cellStyle name="Calculation 2" xfId="869"/>
    <cellStyle name="Calculation 2 1" xfId="870"/>
    <cellStyle name="Calculation 2 2" xfId="871"/>
    <cellStyle name="Calculation 2 3" xfId="872"/>
    <cellStyle name="Calculation 2 4" xfId="873"/>
    <cellStyle name="Calculation 2 5" xfId="874"/>
    <cellStyle name="Calculation 2_Bao cao tien do thuc hien chi dao va ket qua thu hoi NQH" xfId="875"/>
    <cellStyle name="Calculation 3" xfId="876"/>
    <cellStyle name="Calculation 4" xfId="877"/>
    <cellStyle name="category" xfId="878"/>
    <cellStyle name="category 1" xfId="879"/>
    <cellStyle name="category 2" xfId="880"/>
    <cellStyle name="category 3" xfId="881"/>
    <cellStyle name="category 4" xfId="882"/>
    <cellStyle name="category 5" xfId="883"/>
    <cellStyle name="category_Bao cao tien do thuc hien chi dao va ket qua thu hoi NQH" xfId="884"/>
    <cellStyle name="Centered Heading" xfId="885"/>
    <cellStyle name="CenterHead" xfId="886"/>
    <cellStyle name="Cerrency_Sheet2_XANGDAU" xfId="887"/>
    <cellStyle name="Check Cell" xfId="888" builtinId="23" customBuiltin="1"/>
    <cellStyle name="Check Cell 1" xfId="889"/>
    <cellStyle name="Check Cell 1 1" xfId="890"/>
    <cellStyle name="Check Cell 1 2" xfId="891"/>
    <cellStyle name="Check Cell 1 3" xfId="892"/>
    <cellStyle name="Check Cell 1 4" xfId="893"/>
    <cellStyle name="Check Cell 1 5" xfId="894"/>
    <cellStyle name="Check Cell 1_Chi tieu KT" xfId="895"/>
    <cellStyle name="Check Cell 2" xfId="896"/>
    <cellStyle name="Check Cell 2 1" xfId="897"/>
    <cellStyle name="Check Cell 2 2" xfId="898"/>
    <cellStyle name="Check Cell 2 3" xfId="899"/>
    <cellStyle name="Check Cell 2 4" xfId="900"/>
    <cellStyle name="Check Cell 2 5" xfId="901"/>
    <cellStyle name="Check Cell 2_Bao cao tien do thuc hien chi dao va ket qua thu hoi NQH" xfId="902"/>
    <cellStyle name="Check Cell 3" xfId="903"/>
    <cellStyle name="Check Cell 4" xfId="904"/>
    <cellStyle name="CHUONG" xfId="905"/>
    <cellStyle name="CHUONG 1" xfId="906"/>
    <cellStyle name="CHUONG 2" xfId="907"/>
    <cellStyle name="CHUONG 3" xfId="908"/>
    <cellStyle name="CHUONG 4" xfId="909"/>
    <cellStyle name="CHUONG 5" xfId="910"/>
    <cellStyle name="CHUONG_Bao cao tien do thuc hien chi dao va ket qua thu hoi NQH" xfId="911"/>
    <cellStyle name="Column_Title" xfId="912"/>
    <cellStyle name="Comma" xfId="913" builtinId="3"/>
    <cellStyle name="Comma  - Style1" xfId="914"/>
    <cellStyle name="Comma  - Style2" xfId="915"/>
    <cellStyle name="Comma  - Style3" xfId="916"/>
    <cellStyle name="Comma  - Style4" xfId="917"/>
    <cellStyle name="Comma  - Style5" xfId="918"/>
    <cellStyle name="Comma  - Style6" xfId="919"/>
    <cellStyle name="Comma  - Style7" xfId="920"/>
    <cellStyle name="Comma  - Style8" xfId="921"/>
    <cellStyle name="Comma [0] 2" xfId="922"/>
    <cellStyle name="Comma [0] 2 1" xfId="923"/>
    <cellStyle name="Comma [0] 2 2" xfId="924"/>
    <cellStyle name="Comma [0] 2 3" xfId="925"/>
    <cellStyle name="Comma [0] 2 4" xfId="926"/>
    <cellStyle name="Comma [0] 2 5" xfId="927"/>
    <cellStyle name="Comma [0] 2_Bao cao tien do thuc hien chi dao va ket qua thu hoi NQH" xfId="928"/>
    <cellStyle name="Comma [0] 3" xfId="929"/>
    <cellStyle name="Comma [00]" xfId="930"/>
    <cellStyle name="Comma 0.0" xfId="931"/>
    <cellStyle name="Comma 0.00" xfId="932"/>
    <cellStyle name="Comma 0.000" xfId="933"/>
    <cellStyle name="Comma 10" xfId="934"/>
    <cellStyle name="Comma 10 1" xfId="935"/>
    <cellStyle name="Comma 10 10" xfId="936"/>
    <cellStyle name="Comma 10 2" xfId="937"/>
    <cellStyle name="Comma 10 3" xfId="938"/>
    <cellStyle name="Comma 10 4" xfId="939"/>
    <cellStyle name="Comma 10 5" xfId="940"/>
    <cellStyle name="Comma 10_Bao cao tien do thuc hien chi dao va ket qua thu hoi NQH" xfId="941"/>
    <cellStyle name="Comma 11" xfId="942"/>
    <cellStyle name="Comma 11 1" xfId="943"/>
    <cellStyle name="Comma 11 2" xfId="944"/>
    <cellStyle name="Comma 11 3" xfId="945"/>
    <cellStyle name="Comma 11 4" xfId="946"/>
    <cellStyle name="Comma 11 5" xfId="947"/>
    <cellStyle name="Comma 114" xfId="948"/>
    <cellStyle name="Comma 12" xfId="949"/>
    <cellStyle name="Comma 12 1" xfId="950"/>
    <cellStyle name="Comma 12 2" xfId="951"/>
    <cellStyle name="Comma 12 3" xfId="952"/>
    <cellStyle name="Comma 12 4" xfId="953"/>
    <cellStyle name="Comma 12 5" xfId="954"/>
    <cellStyle name="Comma 13" xfId="955"/>
    <cellStyle name="Comma 13 1" xfId="956"/>
    <cellStyle name="Comma 13 2" xfId="957"/>
    <cellStyle name="Comma 13 3" xfId="958"/>
    <cellStyle name="Comma 13 4" xfId="959"/>
    <cellStyle name="Comma 13 5" xfId="960"/>
    <cellStyle name="Comma 14" xfId="961"/>
    <cellStyle name="Comma 14 1" xfId="962"/>
    <cellStyle name="Comma 14 2" xfId="963"/>
    <cellStyle name="Comma 14 3" xfId="964"/>
    <cellStyle name="Comma 14 4" xfId="965"/>
    <cellStyle name="Comma 14 5" xfId="966"/>
    <cellStyle name="Comma 142" xfId="967"/>
    <cellStyle name="Comma 15" xfId="968"/>
    <cellStyle name="Comma 15 1" xfId="969"/>
    <cellStyle name="Comma 15 2" xfId="970"/>
    <cellStyle name="Comma 15 3" xfId="971"/>
    <cellStyle name="Comma 15 4" xfId="972"/>
    <cellStyle name="Comma 15 5" xfId="973"/>
    <cellStyle name="Comma 156" xfId="974"/>
    <cellStyle name="Comma 16" xfId="975"/>
    <cellStyle name="Comma 16 1" xfId="976"/>
    <cellStyle name="Comma 16 2" xfId="977"/>
    <cellStyle name="Comma 16 3" xfId="978"/>
    <cellStyle name="Comma 16 4" xfId="979"/>
    <cellStyle name="Comma 16 5" xfId="980"/>
    <cellStyle name="Comma 17" xfId="981"/>
    <cellStyle name="Comma 17 1" xfId="982"/>
    <cellStyle name="Comma 17 2" xfId="983"/>
    <cellStyle name="Comma 17 3" xfId="984"/>
    <cellStyle name="Comma 17 4" xfId="985"/>
    <cellStyle name="Comma 17 5" xfId="986"/>
    <cellStyle name="Comma 18" xfId="987"/>
    <cellStyle name="Comma 181" xfId="988"/>
    <cellStyle name="Comma 198" xfId="989"/>
    <cellStyle name="Comma 2" xfId="990"/>
    <cellStyle name="Comma 2 1" xfId="991"/>
    <cellStyle name="Comma 2 2" xfId="992"/>
    <cellStyle name="Comma 2 2 1" xfId="993"/>
    <cellStyle name="Comma 2 2 2" xfId="994"/>
    <cellStyle name="Comma 2 2 3" xfId="995"/>
    <cellStyle name="Comma 2 2 4" xfId="996"/>
    <cellStyle name="Comma 2 2 5" xfId="997"/>
    <cellStyle name="Comma 2 2_DU kien nop NSNN 2015 moi" xfId="998"/>
    <cellStyle name="Comma 2 3" xfId="999"/>
    <cellStyle name="Comma 2 3 1" xfId="1000"/>
    <cellStyle name="Comma 2 3 2" xfId="1001"/>
    <cellStyle name="Comma 2 3 3" xfId="1002"/>
    <cellStyle name="Comma 2 3 4" xfId="1003"/>
    <cellStyle name="Comma 2 3 5" xfId="1004"/>
    <cellStyle name="Comma 2 3_Lạng Giang gửi lại 12.12 (Gui huyen,TP11.12) - Copy" xfId="1005"/>
    <cellStyle name="Comma 2 4" xfId="1006"/>
    <cellStyle name="Comma 2 5" xfId="1007"/>
    <cellStyle name="Comma 2 6" xfId="1008"/>
    <cellStyle name="Comma 2 7" xfId="1009"/>
    <cellStyle name="Comma 2_Bao cao tien do thuc hien chi dao va ket qua thu hoi NQH" xfId="1010"/>
    <cellStyle name="Comma 26" xfId="1011"/>
    <cellStyle name="Comma 28" xfId="1012"/>
    <cellStyle name="Comma 3" xfId="1013"/>
    <cellStyle name="Comma 3 1" xfId="1014"/>
    <cellStyle name="Comma 3 2" xfId="1015"/>
    <cellStyle name="Comma 3 2 1" xfId="1016"/>
    <cellStyle name="Comma 3 2 2" xfId="1017"/>
    <cellStyle name="Comma 3 2 3" xfId="1018"/>
    <cellStyle name="Comma 3 2 4" xfId="1019"/>
    <cellStyle name="Comma 3 2 5" xfId="1020"/>
    <cellStyle name="Comma 3 2_Lạng Giang gửi lại 12.12 (Gui huyen,TP11.12) - Copy" xfId="1021"/>
    <cellStyle name="Comma 3 3" xfId="1022"/>
    <cellStyle name="Comma 3 4" xfId="1023"/>
    <cellStyle name="Comma 3 5" xfId="1024"/>
    <cellStyle name="Comma 3 6" xfId="1025"/>
    <cellStyle name="Comma 3_Bao cao tien do thuc hien chi dao va ket qua thu hoi NQH" xfId="1026"/>
    <cellStyle name="Comma 30" xfId="1027"/>
    <cellStyle name="Comma 4" xfId="1028"/>
    <cellStyle name="Comma 4 1" xfId="1029"/>
    <cellStyle name="Comma 4 2" xfId="1030"/>
    <cellStyle name="Comma 4 3" xfId="1031"/>
    <cellStyle name="Comma 4 4" xfId="1032"/>
    <cellStyle name="Comma 4 5" xfId="1033"/>
    <cellStyle name="Comma 4_Bao cao tien do thuc hien chi dao va ket qua thu hoi NQH" xfId="1034"/>
    <cellStyle name="Comma 48" xfId="1035"/>
    <cellStyle name="Comma 5" xfId="1036"/>
    <cellStyle name="Comma 5 1" xfId="1037"/>
    <cellStyle name="Comma 5 2" xfId="1038"/>
    <cellStyle name="Comma 5 3" xfId="1039"/>
    <cellStyle name="Comma 5 4" xfId="1040"/>
    <cellStyle name="Comma 5 5" xfId="1041"/>
    <cellStyle name="Comma 5_Bao cao tien do thuc hien chi dao va ket qua thu hoi NQH" xfId="1042"/>
    <cellStyle name="Comma 50" xfId="1043"/>
    <cellStyle name="Comma 55" xfId="1044"/>
    <cellStyle name="Comma 6" xfId="1045"/>
    <cellStyle name="Comma 6 1" xfId="1046"/>
    <cellStyle name="Comma 6 2" xfId="1047"/>
    <cellStyle name="Comma 6 3" xfId="1048"/>
    <cellStyle name="Comma 6 4" xfId="1049"/>
    <cellStyle name="Comma 6 5" xfId="1050"/>
    <cellStyle name="Comma 6_Bao cao tien do thuc hien chi dao va ket qua thu hoi NQH" xfId="1051"/>
    <cellStyle name="Comma 7" xfId="1052"/>
    <cellStyle name="Comma 7 1" xfId="1053"/>
    <cellStyle name="Comma 7 2" xfId="1054"/>
    <cellStyle name="Comma 7 3" xfId="1055"/>
    <cellStyle name="Comma 7 4" xfId="1056"/>
    <cellStyle name="Comma 7 5" xfId="1057"/>
    <cellStyle name="Comma 7_Bao cao tien do thuc hien chi dao va ket qua thu hoi NQH" xfId="1058"/>
    <cellStyle name="Comma 8" xfId="1059"/>
    <cellStyle name="Comma 8 1" xfId="1060"/>
    <cellStyle name="Comma 8 2" xfId="1061"/>
    <cellStyle name="Comma 8 3" xfId="1062"/>
    <cellStyle name="Comma 8 4" xfId="1063"/>
    <cellStyle name="Comma 8 5" xfId="1064"/>
    <cellStyle name="Comma 8_Bao cao tien do thuc hien chi dao va ket qua thu hoi NQH" xfId="1065"/>
    <cellStyle name="Comma 85" xfId="1066"/>
    <cellStyle name="Comma 9" xfId="1067"/>
    <cellStyle name="Comma 9 1" xfId="1068"/>
    <cellStyle name="Comma 9 2" xfId="1069"/>
    <cellStyle name="Comma 9 3" xfId="1070"/>
    <cellStyle name="Comma 9 4" xfId="1071"/>
    <cellStyle name="Comma 9 5" xfId="1072"/>
    <cellStyle name="Comma 9_Bao cao tien do thuc hien chi dao va ket qua thu hoi NQH" xfId="1073"/>
    <cellStyle name="Comma 96" xfId="1074"/>
    <cellStyle name="Comma 96 105" xfId="1075"/>
    <cellStyle name="Comma 96 121" xfId="1076"/>
    <cellStyle name="Comma 96 39" xfId="1077"/>
    <cellStyle name="Comma 96 97" xfId="1078"/>
    <cellStyle name="comma zerodec" xfId="1079"/>
    <cellStyle name="Comma0" xfId="1080"/>
    <cellStyle name="Comma0 1" xfId="1081"/>
    <cellStyle name="Comma0 1 1" xfId="1082"/>
    <cellStyle name="Comma0 1 2" xfId="1083"/>
    <cellStyle name="Comma0 1 3" xfId="1084"/>
    <cellStyle name="Comma0 1 4" xfId="1085"/>
    <cellStyle name="Comma0 1 5" xfId="1086"/>
    <cellStyle name="Comma0 1_Bao cao tien do thuc hien chi dao va ket qua thu hoi NQH" xfId="1087"/>
    <cellStyle name="Comma0 2" xfId="1088"/>
    <cellStyle name="Comma0 3" xfId="1089"/>
    <cellStyle name="Comma0 4" xfId="1090"/>
    <cellStyle name="Comma0 5" xfId="1091"/>
    <cellStyle name="Comma0 6" xfId="1092"/>
    <cellStyle name="Comma0_952-thue binh chanh" xfId="1093"/>
    <cellStyle name="Company Name" xfId="1094"/>
    <cellStyle name="Copied" xfId="1095"/>
    <cellStyle name="Copied 1" xfId="1096"/>
    <cellStyle name="Copied 2" xfId="1097"/>
    <cellStyle name="Copied 3" xfId="1098"/>
    <cellStyle name="Copied 4" xfId="1099"/>
    <cellStyle name="Copied 5" xfId="1100"/>
    <cellStyle name="Copied_Bao cao tien do thuc hien chi dao va ket qua thu hoi NQH" xfId="1101"/>
    <cellStyle name="COST1" xfId="1102"/>
    <cellStyle name="COST1 1" xfId="1103"/>
    <cellStyle name="COST1 2" xfId="1104"/>
    <cellStyle name="COST1 3" xfId="1105"/>
    <cellStyle name="COST1 4" xfId="1106"/>
    <cellStyle name="COST1 5" xfId="1107"/>
    <cellStyle name="COST1_Bao cao tien do thuc hien chi dao va ket qua thu hoi NQH" xfId="1108"/>
    <cellStyle name="Currency [00]" xfId="1109"/>
    <cellStyle name="Currency 0.0" xfId="1110"/>
    <cellStyle name="Currency 0.00" xfId="1111"/>
    <cellStyle name="Currency 0.000" xfId="1112"/>
    <cellStyle name="Currency0" xfId="1113"/>
    <cellStyle name="Currency0 1" xfId="1114"/>
    <cellStyle name="Currency0 1 1" xfId="1115"/>
    <cellStyle name="Currency0 1 2" xfId="1116"/>
    <cellStyle name="Currency0 1 3" xfId="1117"/>
    <cellStyle name="Currency0 1 4" xfId="1118"/>
    <cellStyle name="Currency0 1 5" xfId="1119"/>
    <cellStyle name="Currency0 1_Bao cao tien do thuc hien chi dao va ket qua thu hoi NQH" xfId="1120"/>
    <cellStyle name="Currency0 2" xfId="1121"/>
    <cellStyle name="Currency0 3" xfId="1122"/>
    <cellStyle name="Currency0 4" xfId="1123"/>
    <cellStyle name="Currency0 5" xfId="1124"/>
    <cellStyle name="Currency0 6" xfId="1125"/>
    <cellStyle name="Currency0_952-thue binh chanh" xfId="1126"/>
    <cellStyle name="Currency1" xfId="1127"/>
    <cellStyle name="DataPilot Category" xfId="1128"/>
    <cellStyle name="DataPilot Field" xfId="1129"/>
    <cellStyle name="DataPilot Value" xfId="1130"/>
    <cellStyle name="Date" xfId="1131"/>
    <cellStyle name="Date 1" xfId="1132"/>
    <cellStyle name="Date 1 1" xfId="1133"/>
    <cellStyle name="Date 1 2" xfId="1134"/>
    <cellStyle name="Date 1 3" xfId="1135"/>
    <cellStyle name="Date 1 4" xfId="1136"/>
    <cellStyle name="Date 1 5" xfId="1137"/>
    <cellStyle name="Date 1_Bao cao tien do thuc hien chi dao va ket qua thu hoi NQH" xfId="1138"/>
    <cellStyle name="Date 2" xfId="1139"/>
    <cellStyle name="Date 3" xfId="1140"/>
    <cellStyle name="Date 4" xfId="1141"/>
    <cellStyle name="Date 5" xfId="1142"/>
    <cellStyle name="Date 6" xfId="1143"/>
    <cellStyle name="Date Short" xfId="1144"/>
    <cellStyle name="Date_952-thue binh chanh" xfId="1145"/>
    <cellStyle name="Dezimal [0]_NEGS" xfId="1146"/>
    <cellStyle name="Dezimal_NEGS" xfId="1147"/>
    <cellStyle name="Dollar (zero dec)" xfId="1148"/>
    <cellStyle name="e" xfId="1149"/>
    <cellStyle name="ea" xfId="1150"/>
    <cellStyle name="ea 1" xfId="1151"/>
    <cellStyle name="ea 2" xfId="1152"/>
    <cellStyle name="ea 3" xfId="1153"/>
    <cellStyle name="ea 4" xfId="1154"/>
    <cellStyle name="ea 5" xfId="1155"/>
    <cellStyle name="ea_Bao cao tien do thuc hien chi dao va ket qua thu hoi NQH" xfId="1156"/>
    <cellStyle name="Enter Currency (0)" xfId="1157"/>
    <cellStyle name="Enter Currency (2)" xfId="1158"/>
    <cellStyle name="Enter Units (0)" xfId="1159"/>
    <cellStyle name="Enter Units (1)" xfId="1160"/>
    <cellStyle name="Enter Units (2)" xfId="1161"/>
    <cellStyle name="Entered" xfId="1162"/>
    <cellStyle name="Entered 1" xfId="1163"/>
    <cellStyle name="Entered 2" xfId="1164"/>
    <cellStyle name="Entered 3" xfId="1165"/>
    <cellStyle name="Entered 4" xfId="1166"/>
    <cellStyle name="Entered 5" xfId="1167"/>
    <cellStyle name="Entered_Bao cao tien do thuc hien chi dao va ket qua thu hoi NQH" xfId="1168"/>
    <cellStyle name="Euro" xfId="1169"/>
    <cellStyle name="Excel Built-in Comma" xfId="1170"/>
    <cellStyle name="Excel Built-in Normal" xfId="1171"/>
    <cellStyle name="Excel Built-in Normal 1" xfId="1172"/>
    <cellStyle name="Excel Built-in Normal 2" xfId="1173"/>
    <cellStyle name="Excel Built-in Normal 2 1" xfId="1174"/>
    <cellStyle name="Excel Built-in Normal 2 2" xfId="1175"/>
    <cellStyle name="Excel Built-in Normal 2 3" xfId="1176"/>
    <cellStyle name="Excel Built-in Normal 3" xfId="1177"/>
    <cellStyle name="Excel Built-in Normal 4" xfId="1178"/>
    <cellStyle name="Excel Built-in Normal 5" xfId="1179"/>
    <cellStyle name="Excel Built-in Normal 6" xfId="1180"/>
    <cellStyle name="Excel Built-in Normal 7" xfId="1181"/>
    <cellStyle name="Excel Built-in Normal_Bao cao tien do thuc hien chi dao va ket qua thu hoi NQH" xfId="1182"/>
    <cellStyle name="Excel_BuiltIn_Comma 2" xfId="1183"/>
    <cellStyle name="Explanatory Text" xfId="1184" builtinId="53" customBuiltin="1"/>
    <cellStyle name="Explanatory Text 1" xfId="1185"/>
    <cellStyle name="Explanatory Text 1 1" xfId="1186"/>
    <cellStyle name="Explanatory Text 1 2" xfId="1187"/>
    <cellStyle name="Explanatory Text 1 3" xfId="1188"/>
    <cellStyle name="Explanatory Text 1 4" xfId="1189"/>
    <cellStyle name="Explanatory Text 1 5" xfId="1190"/>
    <cellStyle name="Explanatory Text 2" xfId="1191"/>
    <cellStyle name="Explanatory Text 2 1" xfId="1192"/>
    <cellStyle name="Explanatory Text 2 2" xfId="1193"/>
    <cellStyle name="Explanatory Text 2 3" xfId="1194"/>
    <cellStyle name="Explanatory Text 2 4" xfId="1195"/>
    <cellStyle name="Explanatory Text 2 5" xfId="1196"/>
    <cellStyle name="Explanatory Text 2_Bao cao tien do thuc hien chi dao va ket qua thu hoi NQH" xfId="1197"/>
    <cellStyle name="Explanatory Text 3" xfId="1198"/>
    <cellStyle name="Explanatory Text 4" xfId="1199"/>
    <cellStyle name="f" xfId="1200"/>
    <cellStyle name="Fixed" xfId="1201"/>
    <cellStyle name="Fixed 1" xfId="1202"/>
    <cellStyle name="Fixed 1 1" xfId="1203"/>
    <cellStyle name="Fixed 1 2" xfId="1204"/>
    <cellStyle name="Fixed 1 3" xfId="1205"/>
    <cellStyle name="Fixed 1 4" xfId="1206"/>
    <cellStyle name="Fixed 1 5" xfId="1207"/>
    <cellStyle name="Fixed 1_Bao cao tien do thuc hien chi dao va ket qua thu hoi NQH" xfId="1208"/>
    <cellStyle name="Fixed 2" xfId="1209"/>
    <cellStyle name="Fixed 3" xfId="1210"/>
    <cellStyle name="Fixed 4" xfId="1211"/>
    <cellStyle name="Fixed 5" xfId="1212"/>
    <cellStyle name="Fixed 6" xfId="1213"/>
    <cellStyle name="Fixed_952-thue binh chanh" xfId="1214"/>
    <cellStyle name="Good" xfId="1215" builtinId="26" customBuiltin="1"/>
    <cellStyle name="Good 1" xfId="1216"/>
    <cellStyle name="Good 1 1" xfId="1217"/>
    <cellStyle name="Good 1 2" xfId="1218"/>
    <cellStyle name="Good 1 3" xfId="1219"/>
    <cellStyle name="Good 1 4" xfId="1220"/>
    <cellStyle name="Good 1 5" xfId="1221"/>
    <cellStyle name="Good 2" xfId="1222"/>
    <cellStyle name="Good 2 1" xfId="1223"/>
    <cellStyle name="Good 2 2" xfId="1224"/>
    <cellStyle name="Good 2 3" xfId="1225"/>
    <cellStyle name="Good 2 4" xfId="1226"/>
    <cellStyle name="Good 2 5" xfId="1227"/>
    <cellStyle name="Good 2_Bao cao tien do thuc hien chi dao va ket qua thu hoi NQH" xfId="1228"/>
    <cellStyle name="Good 3" xfId="1229"/>
    <cellStyle name="Good 4" xfId="1230"/>
    <cellStyle name="Grey" xfId="1231"/>
    <cellStyle name="Grey 1" xfId="1232"/>
    <cellStyle name="Grey 2" xfId="1233"/>
    <cellStyle name="Grey 3" xfId="1234"/>
    <cellStyle name="Grey 4" xfId="1235"/>
    <cellStyle name="Grey 5" xfId="1236"/>
    <cellStyle name="Grey_Bao cao tien do thuc hien chi dao va ket qua thu hoi NQH" xfId="1237"/>
    <cellStyle name="Group" xfId="1238"/>
    <cellStyle name="HAI" xfId="1239"/>
    <cellStyle name="Head 1" xfId="1240"/>
    <cellStyle name="HEADER" xfId="1241"/>
    <cellStyle name="HEADER 1" xfId="1242"/>
    <cellStyle name="HEADER 2" xfId="1243"/>
    <cellStyle name="HEADER 3" xfId="1244"/>
    <cellStyle name="HEADER 4" xfId="1245"/>
    <cellStyle name="HEADER 5" xfId="1246"/>
    <cellStyle name="HEADER_Bao cao tien do thuc hien chi dao va ket qua thu hoi NQH" xfId="1247"/>
    <cellStyle name="Header1" xfId="1248"/>
    <cellStyle name="Header1 1" xfId="1249"/>
    <cellStyle name="Header1 2" xfId="1250"/>
    <cellStyle name="Header1 3" xfId="1251"/>
    <cellStyle name="Header1 4" xfId="1252"/>
    <cellStyle name="Header1 5" xfId="1253"/>
    <cellStyle name="Header1_Bao cao tien do thuc hien chi dao va ket qua thu hoi NQH" xfId="1254"/>
    <cellStyle name="Header2" xfId="1255"/>
    <cellStyle name="Header2 1" xfId="1256"/>
    <cellStyle name="Header2 2" xfId="1257"/>
    <cellStyle name="Header2 3" xfId="1258"/>
    <cellStyle name="Header2 4" xfId="1259"/>
    <cellStyle name="Header2 5" xfId="1260"/>
    <cellStyle name="Header2_Bao cao tien do thuc hien chi dao va ket qua thu hoi NQH" xfId="1261"/>
    <cellStyle name="Heading 1" xfId="1262" builtinId="16" customBuiltin="1"/>
    <cellStyle name="Heading 1 1" xfId="1263"/>
    <cellStyle name="Heading 1 1 1" xfId="1264"/>
    <cellStyle name="Heading 1 1 2" xfId="1265"/>
    <cellStyle name="Heading 1 1 2 1" xfId="1266"/>
    <cellStyle name="Heading 1 1 2 2" xfId="1267"/>
    <cellStyle name="Heading 1 1 2 3" xfId="1268"/>
    <cellStyle name="Heading 1 1 2 4" xfId="1269"/>
    <cellStyle name="Heading 1 1 2 5" xfId="1270"/>
    <cellStyle name="Heading 1 1 3" xfId="1271"/>
    <cellStyle name="Heading 1 1 4" xfId="1272"/>
    <cellStyle name="Heading 1 1 5" xfId="1273"/>
    <cellStyle name="Heading 1 1 6" xfId="1274"/>
    <cellStyle name="Heading 1 1_Bao cao tien do thuc hien chi dao va ket qua thu hoi NQH" xfId="1275"/>
    <cellStyle name="Heading 1 2" xfId="1276"/>
    <cellStyle name="Heading 1 2 1" xfId="1277"/>
    <cellStyle name="Heading 1 2 2" xfId="1278"/>
    <cellStyle name="Heading 1 2 3" xfId="1279"/>
    <cellStyle name="Heading 1 2 4" xfId="1280"/>
    <cellStyle name="Heading 1 2 5" xfId="1281"/>
    <cellStyle name="Heading 1 2_Bao cao tien do thuc hien chi dao va ket qua thu hoi NQH" xfId="1282"/>
    <cellStyle name="Heading 1 3" xfId="1283"/>
    <cellStyle name="Heading 1 4" xfId="1284"/>
    <cellStyle name="Heading 2" xfId="1285" builtinId="17" customBuiltin="1"/>
    <cellStyle name="Heading 2 1" xfId="1286"/>
    <cellStyle name="Heading 2 1 1" xfId="1287"/>
    <cellStyle name="Heading 2 1 2" xfId="1288"/>
    <cellStyle name="Heading 2 1 2 1" xfId="1289"/>
    <cellStyle name="Heading 2 1 2 2" xfId="1290"/>
    <cellStyle name="Heading 2 1 2 3" xfId="1291"/>
    <cellStyle name="Heading 2 1 2 4" xfId="1292"/>
    <cellStyle name="Heading 2 1 2 5" xfId="1293"/>
    <cellStyle name="Heading 2 1 3" xfId="1294"/>
    <cellStyle name="Heading 2 1 4" xfId="1295"/>
    <cellStyle name="Heading 2 1 5" xfId="1296"/>
    <cellStyle name="Heading 2 1 6" xfId="1297"/>
    <cellStyle name="Heading 2 1_Bao cao tien do thuc hien chi dao va ket qua thu hoi NQH" xfId="1298"/>
    <cellStyle name="Heading 2 2" xfId="1299"/>
    <cellStyle name="Heading 2 2 1" xfId="1300"/>
    <cellStyle name="Heading 2 2 2" xfId="1301"/>
    <cellStyle name="Heading 2 2 3" xfId="1302"/>
    <cellStyle name="Heading 2 2 4" xfId="1303"/>
    <cellStyle name="Heading 2 2 5" xfId="1304"/>
    <cellStyle name="Heading 2 2_Bao cao tien do thuc hien chi dao va ket qua thu hoi NQH" xfId="1305"/>
    <cellStyle name="Heading 2 3" xfId="1306"/>
    <cellStyle name="Heading 2 4" xfId="1307"/>
    <cellStyle name="Heading 3" xfId="1308" builtinId="18" customBuiltin="1"/>
    <cellStyle name="Heading 3 1" xfId="1309"/>
    <cellStyle name="Heading 3 1 1" xfId="1310"/>
    <cellStyle name="Heading 3 1 2" xfId="1311"/>
    <cellStyle name="Heading 3 1 3" xfId="1312"/>
    <cellStyle name="Heading 3 1 4" xfId="1313"/>
    <cellStyle name="Heading 3 1 5" xfId="1314"/>
    <cellStyle name="Heading 3 1_Chi tieu KT" xfId="1315"/>
    <cellStyle name="Heading 3 2" xfId="1316"/>
    <cellStyle name="Heading 3 2 1" xfId="1317"/>
    <cellStyle name="Heading 3 2 2" xfId="1318"/>
    <cellStyle name="Heading 3 2 3" xfId="1319"/>
    <cellStyle name="Heading 3 2 4" xfId="1320"/>
    <cellStyle name="Heading 3 2 5" xfId="1321"/>
    <cellStyle name="Heading 3 2_Bao cao tien do thuc hien chi dao va ket qua thu hoi NQH" xfId="1322"/>
    <cellStyle name="Heading 3 3" xfId="1323"/>
    <cellStyle name="Heading 3 4" xfId="1324"/>
    <cellStyle name="Heading 4" xfId="1325" builtinId="19" customBuiltin="1"/>
    <cellStyle name="Heading 4 1" xfId="1326"/>
    <cellStyle name="Heading 4 1 1" xfId="1327"/>
    <cellStyle name="Heading 4 1 2" xfId="1328"/>
    <cellStyle name="Heading 4 1 3" xfId="1329"/>
    <cellStyle name="Heading 4 1 4" xfId="1330"/>
    <cellStyle name="Heading 4 1 5" xfId="1331"/>
    <cellStyle name="Heading 4 2" xfId="1332"/>
    <cellStyle name="Heading 4 2 1" xfId="1333"/>
    <cellStyle name="Heading 4 2 2" xfId="1334"/>
    <cellStyle name="Heading 4 2 3" xfId="1335"/>
    <cellStyle name="Heading 4 2 4" xfId="1336"/>
    <cellStyle name="Heading 4 2 5" xfId="1337"/>
    <cellStyle name="Heading 4 2_Bao cao tien do thuc hien chi dao va ket qua thu hoi NQH" xfId="1338"/>
    <cellStyle name="Heading 4 3" xfId="1339"/>
    <cellStyle name="Heading 4 4" xfId="1340"/>
    <cellStyle name="Heading No Underline" xfId="1341"/>
    <cellStyle name="Heading With Underline" xfId="1342"/>
    <cellStyle name="HEADING1" xfId="1343"/>
    <cellStyle name="Heading1 1" xfId="1344"/>
    <cellStyle name="Heading1 1 1" xfId="1345"/>
    <cellStyle name="Heading1 1 2" xfId="1346"/>
    <cellStyle name="Heading1 2" xfId="1347"/>
    <cellStyle name="Heading1 3" xfId="1348"/>
    <cellStyle name="Heading1 4" xfId="1349"/>
    <cellStyle name="Heading1_Giao chi tieu 10 huyen, thanh pho 2019 (Gui huyen,TP)" xfId="1350"/>
    <cellStyle name="HEADING2" xfId="1351"/>
    <cellStyle name="Heading2 1" xfId="1352"/>
    <cellStyle name="Heading2 2" xfId="1353"/>
    <cellStyle name="Heading2 3" xfId="1354"/>
    <cellStyle name="Heading2 4" xfId="1355"/>
    <cellStyle name="Heading2 5" xfId="1356"/>
    <cellStyle name="Heading2_Bao cao tien do thuc hien chi dao va ket qua thu hoi NQH" xfId="1357"/>
    <cellStyle name="HEADINGS" xfId="1358"/>
    <cellStyle name="HEADINGSTOP" xfId="1359"/>
    <cellStyle name="i·0" xfId="1360"/>
    <cellStyle name="Input" xfId="1361" builtinId="20" customBuiltin="1"/>
    <cellStyle name="Input [yellow]" xfId="1362"/>
    <cellStyle name="Input [yellow] 1" xfId="1363"/>
    <cellStyle name="Input [yellow] 2" xfId="1364"/>
    <cellStyle name="Input [yellow] 3" xfId="1365"/>
    <cellStyle name="Input [yellow] 4" xfId="1366"/>
    <cellStyle name="Input [yellow] 5" xfId="1367"/>
    <cellStyle name="Input [yellow]_Bao cao tien do thuc hien chi dao va ket qua thu hoi NQH" xfId="1368"/>
    <cellStyle name="Input 1" xfId="1369"/>
    <cellStyle name="Input 1 1" xfId="1370"/>
    <cellStyle name="Input 1 2" xfId="1371"/>
    <cellStyle name="Input 1 3" xfId="1372"/>
    <cellStyle name="Input 1 4" xfId="1373"/>
    <cellStyle name="Input 1 5" xfId="1374"/>
    <cellStyle name="Input 1_Chi tieu KT" xfId="1375"/>
    <cellStyle name="Input 10" xfId="1376"/>
    <cellStyle name="Input 2" xfId="1377"/>
    <cellStyle name="Input 2 1" xfId="1378"/>
    <cellStyle name="Input 2 2" xfId="1379"/>
    <cellStyle name="Input 2 3" xfId="1380"/>
    <cellStyle name="Input 2 4" xfId="1381"/>
    <cellStyle name="Input 2 5" xfId="1382"/>
    <cellStyle name="Input 2_Bao cao tien do thuc hien chi dao va ket qua thu hoi NQH" xfId="1383"/>
    <cellStyle name="Input 3" xfId="1384"/>
    <cellStyle name="Input 3 1" xfId="1385"/>
    <cellStyle name="Input 3 2" xfId="1386"/>
    <cellStyle name="Input 3 3" xfId="1387"/>
    <cellStyle name="Input 3 4" xfId="1388"/>
    <cellStyle name="Input 3 5" xfId="1389"/>
    <cellStyle name="Input 3_Chi tieu KT" xfId="1390"/>
    <cellStyle name="Input 4" xfId="1391"/>
    <cellStyle name="Input 4 1" xfId="1392"/>
    <cellStyle name="Input 4 2" xfId="1393"/>
    <cellStyle name="Input 4 3" xfId="1394"/>
    <cellStyle name="Input 4 4" xfId="1395"/>
    <cellStyle name="Input 4 5" xfId="1396"/>
    <cellStyle name="Input 4_Chi tieu KT" xfId="1397"/>
    <cellStyle name="Input 5" xfId="1398"/>
    <cellStyle name="Input 5 1" xfId="1399"/>
    <cellStyle name="Input 5 2" xfId="1400"/>
    <cellStyle name="Input 5 3" xfId="1401"/>
    <cellStyle name="Input 5 4" xfId="1402"/>
    <cellStyle name="Input 5 5" xfId="1403"/>
    <cellStyle name="Input 5_Chi tieu KT" xfId="1404"/>
    <cellStyle name="Input 6" xfId="1405"/>
    <cellStyle name="Input 6 1" xfId="1406"/>
    <cellStyle name="Input 6 2" xfId="1407"/>
    <cellStyle name="Input 6 3" xfId="1408"/>
    <cellStyle name="Input 6 4" xfId="1409"/>
    <cellStyle name="Input 6 5" xfId="1410"/>
    <cellStyle name="Input 6_Chi tieu KT" xfId="1411"/>
    <cellStyle name="Input 7" xfId="1412"/>
    <cellStyle name="Input 7 1" xfId="1413"/>
    <cellStyle name="Input 7 2" xfId="1414"/>
    <cellStyle name="Input 7 3" xfId="1415"/>
    <cellStyle name="Input 7 4" xfId="1416"/>
    <cellStyle name="Input 7 5" xfId="1417"/>
    <cellStyle name="Input 7_Chi tieu KT" xfId="1418"/>
    <cellStyle name="Input 8" xfId="1419"/>
    <cellStyle name="Input 8 1" xfId="1420"/>
    <cellStyle name="Input 8 2" xfId="1421"/>
    <cellStyle name="Input 8 3" xfId="1422"/>
    <cellStyle name="Input 8 4" xfId="1423"/>
    <cellStyle name="Input 8 5" xfId="1424"/>
    <cellStyle name="Input 8_Chi tieu KT" xfId="1425"/>
    <cellStyle name="Input 9" xfId="1426"/>
    <cellStyle name="Input Cells" xfId="1427"/>
    <cellStyle name="Input Cells 1" xfId="1428"/>
    <cellStyle name="Input Cells 2" xfId="1429"/>
    <cellStyle name="Input Cells 3" xfId="1430"/>
    <cellStyle name="Input Cells 4" xfId="1431"/>
    <cellStyle name="Input Cells 5" xfId="1432"/>
    <cellStyle name="Input Cells_Bao cao tien do thuc hien chi dao va ket qua thu hoi NQH" xfId="1433"/>
    <cellStyle name="khanh" xfId="1434"/>
    <cellStyle name="Ledger 17 x 11 in" xfId="1435"/>
    <cellStyle name="Link Currency (0)" xfId="1436"/>
    <cellStyle name="Link Currency (2)" xfId="1437"/>
    <cellStyle name="Link Units (0)" xfId="1438"/>
    <cellStyle name="Link Units (1)" xfId="1439"/>
    <cellStyle name="Link Units (2)" xfId="1440"/>
    <cellStyle name="Linked Cell" xfId="1441" builtinId="24" customBuiltin="1"/>
    <cellStyle name="Linked Cell 1" xfId="1442"/>
    <cellStyle name="Linked Cell 1 1" xfId="1443"/>
    <cellStyle name="Linked Cell 1 2" xfId="1444"/>
    <cellStyle name="Linked Cell 1 3" xfId="1445"/>
    <cellStyle name="Linked Cell 1 4" xfId="1446"/>
    <cellStyle name="Linked Cell 1 5" xfId="1447"/>
    <cellStyle name="Linked Cell 1_Chi tieu KT" xfId="1448"/>
    <cellStyle name="Linked Cell 2" xfId="1449"/>
    <cellStyle name="Linked Cell 2 1" xfId="1450"/>
    <cellStyle name="Linked Cell 2 2" xfId="1451"/>
    <cellStyle name="Linked Cell 2 3" xfId="1452"/>
    <cellStyle name="Linked Cell 2 4" xfId="1453"/>
    <cellStyle name="Linked Cell 2 5" xfId="1454"/>
    <cellStyle name="Linked Cell 2_Bao cao tien do thuc hien chi dao va ket qua thu hoi NQH" xfId="1455"/>
    <cellStyle name="Linked Cell 3" xfId="1456"/>
    <cellStyle name="Linked Cell 4" xfId="1457"/>
    <cellStyle name="Linked Cells" xfId="1458"/>
    <cellStyle name="Linked Cells 1" xfId="1459"/>
    <cellStyle name="Linked Cells 2" xfId="1460"/>
    <cellStyle name="Linked Cells 3" xfId="1461"/>
    <cellStyle name="Linked Cells 4" xfId="1462"/>
    <cellStyle name="Linked Cells 5" xfId="1463"/>
    <cellStyle name="Linked Cells_Bao cao tien do thuc hien chi dao va ket qua thu hoi NQH" xfId="1464"/>
    <cellStyle name="Loai CBDT" xfId="1465"/>
    <cellStyle name="Loai CT" xfId="1466"/>
    <cellStyle name="Loai GD" xfId="1467"/>
    <cellStyle name="MainHead" xfId="1468"/>
    <cellStyle name="Millares [0]_Well Timing" xfId="1469"/>
    <cellStyle name="Millares_Well Timing" xfId="1470"/>
    <cellStyle name="Milliers [0]_      " xfId="1471"/>
    <cellStyle name="Milliers_      " xfId="1472"/>
    <cellStyle name="Model" xfId="1473"/>
    <cellStyle name="Model 1" xfId="1474"/>
    <cellStyle name="Model 2" xfId="1475"/>
    <cellStyle name="Model 3" xfId="1476"/>
    <cellStyle name="Model 4" xfId="1477"/>
    <cellStyle name="Model 5" xfId="1478"/>
    <cellStyle name="Model_Bao cao tien do thuc hien chi dao va ket qua thu hoi NQH" xfId="1479"/>
    <cellStyle name="Mon?aire [0]_      " xfId="1480"/>
    <cellStyle name="Mon?aire_      " xfId="1481"/>
    <cellStyle name="Moneda [0]_Well Timing" xfId="1482"/>
    <cellStyle name="Moneda_Well Timing" xfId="1483"/>
    <cellStyle name="Monétaire [0]_      " xfId="1484"/>
    <cellStyle name="Monétaire_      " xfId="1485"/>
    <cellStyle name="n" xfId="1486"/>
    <cellStyle name="n 1" xfId="1487"/>
    <cellStyle name="n 2" xfId="1488"/>
    <cellStyle name="n 3" xfId="1489"/>
    <cellStyle name="n 4" xfId="1490"/>
    <cellStyle name="n 5" xfId="1491"/>
    <cellStyle name="n_Bao cao tien do thuc hien chi dao va ket qua thu hoi NQH" xfId="1492"/>
    <cellStyle name="n_LN70- NGAY 20.09.2013" xfId="1493"/>
    <cellStyle name="n_TONG HOP DIEN THANG 04.2014(5)" xfId="1494"/>
    <cellStyle name="Neutral" xfId="1495" builtinId="28" customBuiltin="1"/>
    <cellStyle name="Neutral 1" xfId="1496"/>
    <cellStyle name="Neutral 1 1" xfId="1497"/>
    <cellStyle name="Neutral 1 2" xfId="1498"/>
    <cellStyle name="Neutral 1 3" xfId="1499"/>
    <cellStyle name="Neutral 1 4" xfId="1500"/>
    <cellStyle name="Neutral 1 5" xfId="1501"/>
    <cellStyle name="Neutral 2" xfId="1502"/>
    <cellStyle name="Neutral 2 1" xfId="1503"/>
    <cellStyle name="Neutral 2 2" xfId="1504"/>
    <cellStyle name="Neutral 2 3" xfId="1505"/>
    <cellStyle name="Neutral 2 4" xfId="1506"/>
    <cellStyle name="Neutral 2 5" xfId="1507"/>
    <cellStyle name="Neutral 2_Bao cao tien do thuc hien chi dao va ket qua thu hoi NQH" xfId="1508"/>
    <cellStyle name="Neutral 3" xfId="1509"/>
    <cellStyle name="Neutral 4" xfId="1510"/>
    <cellStyle name="New Times Roman" xfId="1511"/>
    <cellStyle name="no dec" xfId="1512"/>
    <cellStyle name="ÑONVÒ" xfId="1513"/>
    <cellStyle name="ÑONVÒ 1" xfId="1514"/>
    <cellStyle name="ÑONVÒ 2" xfId="1515"/>
    <cellStyle name="ÑONVÒ 3" xfId="1516"/>
    <cellStyle name="ÑONVÒ 4" xfId="1517"/>
    <cellStyle name="ÑONVÒ 5" xfId="1518"/>
    <cellStyle name="ÑONVÒ_Bao cao tien do thuc hien chi dao va ket qua thu hoi NQH" xfId="1519"/>
    <cellStyle name="Normal" xfId="0" builtinId="0"/>
    <cellStyle name="Normal - Style1" xfId="1520"/>
    <cellStyle name="Normal - Style1 1" xfId="1521"/>
    <cellStyle name="Normal - Style1 2" xfId="1522"/>
    <cellStyle name="Normal - Style1 3" xfId="1523"/>
    <cellStyle name="Normal - Style1 4" xfId="1524"/>
    <cellStyle name="Normal - Style1 5" xfId="1525"/>
    <cellStyle name="Normal - Style1_Bao cao tien do thuc hien chi dao va ket qua thu hoi NQH" xfId="1526"/>
    <cellStyle name="Normal 10" xfId="1527"/>
    <cellStyle name="Normal 10 1" xfId="1528"/>
    <cellStyle name="Normal 10 2" xfId="1529"/>
    <cellStyle name="Normal 10 3" xfId="1530"/>
    <cellStyle name="Normal 10 4" xfId="1531"/>
    <cellStyle name="Normal 10 5" xfId="1532"/>
    <cellStyle name="Normal 10_Bao cao tien do thuc hien chi dao va ket qua thu hoi NQH" xfId="1533"/>
    <cellStyle name="Normal 104" xfId="1534"/>
    <cellStyle name="Normal 105" xfId="1535"/>
    <cellStyle name="Normal 106" xfId="1536"/>
    <cellStyle name="Normal 11" xfId="1537"/>
    <cellStyle name="Normal 11 1" xfId="1538"/>
    <cellStyle name="Normal 11 2" xfId="1539"/>
    <cellStyle name="Normal 11 3" xfId="1540"/>
    <cellStyle name="Normal 11 3 2" xfId="1541"/>
    <cellStyle name="Normal 11 4" xfId="1542"/>
    <cellStyle name="Normal 11 5" xfId="1543"/>
    <cellStyle name="Normal 11_Lạng Giang gửi lại 12.12 (Gui huyen,TP11.12) - Copy" xfId="1544"/>
    <cellStyle name="Normal 12" xfId="1545"/>
    <cellStyle name="Normal 12 1" xfId="1546"/>
    <cellStyle name="Normal 12 2" xfId="1547"/>
    <cellStyle name="Normal 12 3" xfId="1548"/>
    <cellStyle name="Normal 12 4" xfId="1549"/>
    <cellStyle name="Normal 12 5" xfId="1550"/>
    <cellStyle name="Normal 12_Bao cao tien do thuc hien chi dao va ket qua thu hoi NQH" xfId="1551"/>
    <cellStyle name="Normal 122" xfId="1552"/>
    <cellStyle name="Normal 13" xfId="1553"/>
    <cellStyle name="Normal 13 1" xfId="1554"/>
    <cellStyle name="Normal 13 2" xfId="1555"/>
    <cellStyle name="Normal 13 3" xfId="1556"/>
    <cellStyle name="Normal 13 4" xfId="1557"/>
    <cellStyle name="Normal 13 5" xfId="1558"/>
    <cellStyle name="Normal 13_TONG HOP DIEN THANG 04.2014(5)" xfId="1559"/>
    <cellStyle name="Normal 14" xfId="1560"/>
    <cellStyle name="Normal 14 1" xfId="1561"/>
    <cellStyle name="Normal 14 2" xfId="1562"/>
    <cellStyle name="Normal 14 3" xfId="1563"/>
    <cellStyle name="Normal 14 4" xfId="1564"/>
    <cellStyle name="Normal 14 5" xfId="1565"/>
    <cellStyle name="Normal 14_TONG HOP DIEN THANG 04.2014(5)" xfId="1566"/>
    <cellStyle name="Normal 144" xfId="1567"/>
    <cellStyle name="Normal 145" xfId="1568"/>
    <cellStyle name="Normal 146" xfId="1569"/>
    <cellStyle name="Normal 15" xfId="1570"/>
    <cellStyle name="Normal 15 1" xfId="1571"/>
    <cellStyle name="Normal 15 2" xfId="1572"/>
    <cellStyle name="Normal 15 3" xfId="1573"/>
    <cellStyle name="Normal 15 4" xfId="1574"/>
    <cellStyle name="Normal 15 5" xfId="1575"/>
    <cellStyle name="Normal 15_Bao cao tien do thuc hien chi dao va ket qua thu hoi NQH" xfId="1576"/>
    <cellStyle name="Normal 16" xfId="1577"/>
    <cellStyle name="Normal 16 2" xfId="1578"/>
    <cellStyle name="Normal 167" xfId="1579"/>
    <cellStyle name="Normal 17" xfId="1580"/>
    <cellStyle name="Normal 177" xfId="1581"/>
    <cellStyle name="Normal 179" xfId="1582"/>
    <cellStyle name="Normal 18" xfId="1583"/>
    <cellStyle name="Normal 187" xfId="1584"/>
    <cellStyle name="Normal 19" xfId="1585"/>
    <cellStyle name="Normal 190" xfId="1586"/>
    <cellStyle name="Normal 2" xfId="1587"/>
    <cellStyle name="Normal 2 1" xfId="1588"/>
    <cellStyle name="Normal 2 2" xfId="1589"/>
    <cellStyle name="Normal 2 3" xfId="1590"/>
    <cellStyle name="Normal 2 4" xfId="1591"/>
    <cellStyle name="Normal 2 5" xfId="1592"/>
    <cellStyle name="Normal 2 6" xfId="1593"/>
    <cellStyle name="Normal 2_3979 - Bieu XDKH DTXDCB 2015" xfId="1594"/>
    <cellStyle name="Normal 20" xfId="1595"/>
    <cellStyle name="Normal 206" xfId="1596"/>
    <cellStyle name="Normal 208" xfId="1597"/>
    <cellStyle name="Normal 209" xfId="1598"/>
    <cellStyle name="Normal 21" xfId="1599"/>
    <cellStyle name="Normal 22" xfId="1600"/>
    <cellStyle name="Normal 226" xfId="1601"/>
    <cellStyle name="Normal 23" xfId="1602"/>
    <cellStyle name="Normal 239" xfId="1603"/>
    <cellStyle name="Normal 24" xfId="1604"/>
    <cellStyle name="Normal 241" xfId="1605"/>
    <cellStyle name="Normal 245" xfId="1606"/>
    <cellStyle name="Normal 246" xfId="1607"/>
    <cellStyle name="Normal 249" xfId="1608"/>
    <cellStyle name="Normal 25" xfId="1609"/>
    <cellStyle name="Normal 26" xfId="1610"/>
    <cellStyle name="Normal 27" xfId="1611"/>
    <cellStyle name="Normal 28" xfId="1612"/>
    <cellStyle name="Normal 29" xfId="1613"/>
    <cellStyle name="Normal 3" xfId="1614"/>
    <cellStyle name="Normal 3 1" xfId="1615"/>
    <cellStyle name="Normal 3 2" xfId="1616"/>
    <cellStyle name="Normal 3 2 1" xfId="1617"/>
    <cellStyle name="Normal 3 2 2" xfId="1618"/>
    <cellStyle name="Normal 3 2 3" xfId="1619"/>
    <cellStyle name="Normal 3 2 4" xfId="1620"/>
    <cellStyle name="Normal 3 2 5" xfId="1621"/>
    <cellStyle name="Normal 3 2_Bao cao tien do thuc hien chi dao va ket qua thu hoi NQH" xfId="1622"/>
    <cellStyle name="Normal 3 3" xfId="1623"/>
    <cellStyle name="Normal 3 36" xfId="1624"/>
    <cellStyle name="Normal 3 4" xfId="1625"/>
    <cellStyle name="Normal 3 4 2" xfId="1626"/>
    <cellStyle name="Normal 3 5" xfId="1627"/>
    <cellStyle name="Normal 3 6" xfId="1628"/>
    <cellStyle name="Normal 3 7" xfId="1629"/>
    <cellStyle name="Normal 3_Bao cao tien do thuc hien chi dao va ket qua thu hoi NQH" xfId="1630"/>
    <cellStyle name="Normal 30" xfId="1631"/>
    <cellStyle name="Normal 31" xfId="1632"/>
    <cellStyle name="Normal 32" xfId="1633"/>
    <cellStyle name="Normal 33" xfId="1634"/>
    <cellStyle name="Normal 34" xfId="1635"/>
    <cellStyle name="Normal 35" xfId="1636"/>
    <cellStyle name="Normal 36" xfId="1637"/>
    <cellStyle name="Normal 37" xfId="1638"/>
    <cellStyle name="Normal 38" xfId="1639"/>
    <cellStyle name="Normal 39" xfId="1640"/>
    <cellStyle name="Normal 4" xfId="1641"/>
    <cellStyle name="Normal 4 1" xfId="1642"/>
    <cellStyle name="Normal 4 2" xfId="1643"/>
    <cellStyle name="Normal 4 3" xfId="1644"/>
    <cellStyle name="Normal 4 4" xfId="1645"/>
    <cellStyle name="Normal 4 5" xfId="1646"/>
    <cellStyle name="Normal 4 6" xfId="1647"/>
    <cellStyle name="Normal 4_3979 - Bieu XDKH DTXDCB 2015" xfId="1648"/>
    <cellStyle name="Normal 40" xfId="1649"/>
    <cellStyle name="Normal 41" xfId="1650"/>
    <cellStyle name="Normal 42" xfId="1651"/>
    <cellStyle name="Normal 43" xfId="1652"/>
    <cellStyle name="Normal 44" xfId="1653"/>
    <cellStyle name="Normal 45" xfId="1654"/>
    <cellStyle name="Normal 46" xfId="1655"/>
    <cellStyle name="Normal 47" xfId="1656"/>
    <cellStyle name="Normal 48" xfId="1657"/>
    <cellStyle name="Normal 49" xfId="1658"/>
    <cellStyle name="Normal 5" xfId="1659"/>
    <cellStyle name="Normal 5 1" xfId="1660"/>
    <cellStyle name="Normal 5 2" xfId="1661"/>
    <cellStyle name="Normal 5 3" xfId="1662"/>
    <cellStyle name="Normal 5 4" xfId="1663"/>
    <cellStyle name="Normal 5 5" xfId="1664"/>
    <cellStyle name="Normal 5 6" xfId="1665"/>
    <cellStyle name="Normal 5_Bieu 6 thang nam 2019" xfId="1666"/>
    <cellStyle name="Normal 50" xfId="1667"/>
    <cellStyle name="Normal 51" xfId="1668"/>
    <cellStyle name="Normal 52" xfId="1669"/>
    <cellStyle name="Normal 53" xfId="1670"/>
    <cellStyle name="Normal 54" xfId="1671"/>
    <cellStyle name="Normal 55" xfId="1672"/>
    <cellStyle name="Normal 56" xfId="1673"/>
    <cellStyle name="Normal 6" xfId="1674"/>
    <cellStyle name="Normal 6 1" xfId="1675"/>
    <cellStyle name="Normal 6 2" xfId="1676"/>
    <cellStyle name="Normal 6 3" xfId="1677"/>
    <cellStyle name="Normal 6 4" xfId="1678"/>
    <cellStyle name="Normal 6 5" xfId="1679"/>
    <cellStyle name="Normal 6_Chi tieu chu yeu 2020 (Quang)" xfId="1680"/>
    <cellStyle name="Normal 7" xfId="1681"/>
    <cellStyle name="Normal 7 1" xfId="1682"/>
    <cellStyle name="Normal 7 2" xfId="1683"/>
    <cellStyle name="Normal 7 3" xfId="1684"/>
    <cellStyle name="Normal 7 4" xfId="1685"/>
    <cellStyle name="Normal 7 5" xfId="1686"/>
    <cellStyle name="Normal 7_Bieu 6 thang nam 2019" xfId="1687"/>
    <cellStyle name="Normal 8" xfId="1688"/>
    <cellStyle name="Normal 8 1" xfId="1689"/>
    <cellStyle name="Normal 8 2" xfId="1690"/>
    <cellStyle name="Normal 8 3" xfId="1691"/>
    <cellStyle name="Normal 8 4" xfId="1692"/>
    <cellStyle name="Normal 8 5" xfId="1693"/>
    <cellStyle name="Normal 8_TONG HOP DIEN THANG 04.2014(5)" xfId="1694"/>
    <cellStyle name="Normal 9" xfId="1695"/>
    <cellStyle name="Normal 9 1" xfId="1696"/>
    <cellStyle name="Normal 9 2" xfId="1697"/>
    <cellStyle name="Normal 9 3" xfId="1698"/>
    <cellStyle name="Normal 9 4" xfId="1699"/>
    <cellStyle name="Normal 9 5" xfId="1700"/>
    <cellStyle name="Normal 9_Lạng Giang gửi lại 12.12 (Gui huyen,TP11.12) - Copy" xfId="1701"/>
    <cellStyle name="Normal 90" xfId="1702"/>
    <cellStyle name="Normal 95" xfId="1703"/>
    <cellStyle name="Normal_3978 - Bieu XDKH 2015 phan DP" xfId="1704"/>
    <cellStyle name="Normal_Bieu ke hoach phat trien KT-XH 5 nam ( 2011-2015)" xfId="1705"/>
    <cellStyle name="Normal_Bieu KH 5 nam 2016-2020 (KTN) 03-11-2014" xfId="1706"/>
    <cellStyle name="Normal_Bieu KH-XH 2016-2020 (thg10)" xfId="1707"/>
    <cellStyle name="Normal_Bieu KT-XH nam 2016 Trinh HDND (9-12-2015) Moi" xfId="1708"/>
    <cellStyle name="Normal_Bieu mau (CV )" xfId="1709"/>
    <cellStyle name="Normal_bieu mau huong dan 1" xfId="1710"/>
    <cellStyle name="Normal_Bieu XDKH 2013 phan DP_final" xfId="2220"/>
    <cellStyle name="Normal_Phuong an tang truong GDP ngay 15-6-2012" xfId="1711"/>
    <cellStyle name="Normal_So Van Hoa" xfId="1712"/>
    <cellStyle name="Normal_So Van Hoa_Van hoa-Xa hoi-Moi truong" xfId="1713"/>
    <cellStyle name="Normal_Vu Quan ly QH_BieuBaocaoQuyhoach2011_Bieu XDKH 2013 phan DP_final" xfId="1714"/>
    <cellStyle name="Note" xfId="1715" builtinId="10" customBuiltin="1"/>
    <cellStyle name="Note 1" xfId="1716"/>
    <cellStyle name="Note 1 1" xfId="1717"/>
    <cellStyle name="Note 1 2" xfId="1718"/>
    <cellStyle name="Note 1 3" xfId="1719"/>
    <cellStyle name="Note 1 4" xfId="1720"/>
    <cellStyle name="Note 1 5" xfId="1721"/>
    <cellStyle name="Note 1_Chi tieu KT" xfId="1722"/>
    <cellStyle name="Note 2" xfId="1723"/>
    <cellStyle name="Note 2 1" xfId="1724"/>
    <cellStyle name="Note 2 2" xfId="1725"/>
    <cellStyle name="Note 2 3" xfId="1726"/>
    <cellStyle name="Note 2 4" xfId="1727"/>
    <cellStyle name="Note 2 5" xfId="1728"/>
    <cellStyle name="Note 2_Bao cao tien do thuc hien chi dao va ket qua thu hoi NQH" xfId="1729"/>
    <cellStyle name="Note 3" xfId="1730"/>
    <cellStyle name="Note 4" xfId="1731"/>
    <cellStyle name="NWM" xfId="1732"/>
    <cellStyle name="Œ…‹æØ‚è [0.00]_laroux" xfId="1733"/>
    <cellStyle name="Œ…‹æØ‚è_laroux" xfId="1734"/>
    <cellStyle name="oft Excel]_x000d__x000a_Comment=open=/f ‚ðw’è‚·‚é‚ÆAƒ†[ƒU[’è‹`ŠÖ”‚ðŠÖ”“\‚è•t‚¯‚Ìˆê——‚É“o˜^‚·‚é‚±‚Æ‚ª‚Å‚«‚Ü‚·B_x000d__x000a_Maximized" xfId="1735"/>
    <cellStyle name="oft Excel]_x000d__x000a_Comment=open=/f ‚ðŽw’è‚·‚é‚ÆAƒ†[ƒU[’è‹`ŠÖ”‚ðŠÖ”“\‚è•t‚¯‚Ìˆê——‚É“o˜^‚·‚é‚±‚Æ‚ª‚Å‚«‚Ü‚·B_x000d__x000a_Maximized" xfId="1736"/>
    <cellStyle name="omma [0]_Mktg Prog" xfId="1737"/>
    <cellStyle name="ormal_Sheet1_1" xfId="1738"/>
    <cellStyle name="Output" xfId="1739" builtinId="21" customBuiltin="1"/>
    <cellStyle name="Output 1" xfId="1740"/>
    <cellStyle name="Output 1 1" xfId="1741"/>
    <cellStyle name="Output 1 2" xfId="1742"/>
    <cellStyle name="Output 1 3" xfId="1743"/>
    <cellStyle name="Output 1 4" xfId="1744"/>
    <cellStyle name="Output 1 5" xfId="1745"/>
    <cellStyle name="Output 1_Chi tieu KT" xfId="1746"/>
    <cellStyle name="Output 2" xfId="1747"/>
    <cellStyle name="Output 2 1" xfId="1748"/>
    <cellStyle name="Output 2 2" xfId="1749"/>
    <cellStyle name="Output 2 3" xfId="1750"/>
    <cellStyle name="Output 2 4" xfId="1751"/>
    <cellStyle name="Output 2 5" xfId="1752"/>
    <cellStyle name="Output 2_Bao cao tien do thuc hien chi dao va ket qua thu hoi NQH" xfId="1753"/>
    <cellStyle name="Output 3" xfId="1754"/>
    <cellStyle name="Output 4" xfId="1755"/>
    <cellStyle name="per.style" xfId="1756"/>
    <cellStyle name="per.style 1" xfId="1757"/>
    <cellStyle name="per.style 2" xfId="1758"/>
    <cellStyle name="per.style 3" xfId="1759"/>
    <cellStyle name="per.style 4" xfId="1760"/>
    <cellStyle name="per.style 5" xfId="1761"/>
    <cellStyle name="per.style_Bao cao tien do thuc hien chi dao va ket qua thu hoi NQH" xfId="1762"/>
    <cellStyle name="Percent %" xfId="1763"/>
    <cellStyle name="Percent % Long Underline" xfId="1764"/>
    <cellStyle name="Percent [0]" xfId="1765"/>
    <cellStyle name="Percent [00]" xfId="1766"/>
    <cellStyle name="Percent [2]" xfId="1767"/>
    <cellStyle name="Percent [2] 1" xfId="1768"/>
    <cellStyle name="Percent [2] 2" xfId="1769"/>
    <cellStyle name="Percent [2] 3" xfId="1770"/>
    <cellStyle name="Percent [2] 4" xfId="1771"/>
    <cellStyle name="Percent [2] 5" xfId="1772"/>
    <cellStyle name="Percent [2]_Bao cao tien do thuc hien chi dao va ket qua thu hoi NQH" xfId="1773"/>
    <cellStyle name="Percent 0.0%" xfId="1774"/>
    <cellStyle name="Percent 0.0% Long Underline" xfId="1775"/>
    <cellStyle name="Percent 0.00%" xfId="1776"/>
    <cellStyle name="Percent 0.00% Long Underline" xfId="1777"/>
    <cellStyle name="Percent 0.000%" xfId="1778"/>
    <cellStyle name="Percent 0.000% Long Underline" xfId="1779"/>
    <cellStyle name="Percent 2" xfId="1780"/>
    <cellStyle name="Percent 2 1" xfId="1781"/>
    <cellStyle name="Percent 2 2" xfId="1782"/>
    <cellStyle name="Percent 2 3" xfId="1783"/>
    <cellStyle name="Percent 2 4" xfId="1784"/>
    <cellStyle name="Percent 2 5" xfId="1785"/>
    <cellStyle name="Percent 2_Bao cao tien do thuc hien chi dao va ket qua thu hoi NQH" xfId="1786"/>
    <cellStyle name="Percent 3" xfId="1787"/>
    <cellStyle name="Percent 3 1" xfId="1788"/>
    <cellStyle name="Percent 3 2" xfId="1789"/>
    <cellStyle name="Percent 3 3" xfId="1790"/>
    <cellStyle name="Percent 3 4" xfId="1791"/>
    <cellStyle name="Percent 3 5" xfId="1792"/>
    <cellStyle name="Percent 3_Lạng Giang gửi lại 12.12 (Gui huyen,TP11.12) - Copy" xfId="1793"/>
    <cellStyle name="Percent 4" xfId="1794"/>
    <cellStyle name="Percent 4 1" xfId="1795"/>
    <cellStyle name="Percent 4 2" xfId="1796"/>
    <cellStyle name="Percent 4 3" xfId="1797"/>
    <cellStyle name="Percent 4 4" xfId="1798"/>
    <cellStyle name="Percent 4 5" xfId="1799"/>
    <cellStyle name="Percent 4_Bao cao tien do thuc hien chi dao va ket qua thu hoi NQH" xfId="1800"/>
    <cellStyle name="Percent 5" xfId="1801"/>
    <cellStyle name="Percent 5 1" xfId="1802"/>
    <cellStyle name="Percent 5 2" xfId="1803"/>
    <cellStyle name="Percent 5 3" xfId="1804"/>
    <cellStyle name="Percent 5 4" xfId="1805"/>
    <cellStyle name="Percent 5 5" xfId="1806"/>
    <cellStyle name="Percent 5_Lạng Giang gửi lại 12.12 (Gui huyen,TP11.12) - Copy" xfId="1807"/>
    <cellStyle name="PERCENTAGE" xfId="1808"/>
    <cellStyle name="PERCENTAGE 1" xfId="1809"/>
    <cellStyle name="PERCENTAGE 2" xfId="1810"/>
    <cellStyle name="PERCENTAGE 3" xfId="1811"/>
    <cellStyle name="PERCENTAGE 4" xfId="1812"/>
    <cellStyle name="PERCENTAGE 5" xfId="1813"/>
    <cellStyle name="PERCENTAGE_Bao cao tien do thuc hien chi dao va ket qua thu hoi NQH" xfId="1814"/>
    <cellStyle name="PrePop Currency (0)" xfId="1815"/>
    <cellStyle name="PrePop Currency (2)" xfId="1816"/>
    <cellStyle name="PrePop Units (0)" xfId="1817"/>
    <cellStyle name="PrePop Units (1)" xfId="1818"/>
    <cellStyle name="PrePop Units (2)" xfId="1819"/>
    <cellStyle name="pricing" xfId="1820"/>
    <cellStyle name="pricing 1" xfId="1821"/>
    <cellStyle name="pricing 2" xfId="1822"/>
    <cellStyle name="pricing 3" xfId="1823"/>
    <cellStyle name="pricing 4" xfId="1824"/>
    <cellStyle name="pricing 5" xfId="1825"/>
    <cellStyle name="pricing_Bao cao tien do thuc hien chi dao va ket qua thu hoi NQH" xfId="1826"/>
    <cellStyle name="PSChar" xfId="1827"/>
    <cellStyle name="PSChar 1" xfId="1828"/>
    <cellStyle name="PSChar 2" xfId="1829"/>
    <cellStyle name="PSChar 3" xfId="1830"/>
    <cellStyle name="PSChar 4" xfId="1831"/>
    <cellStyle name="PSChar 5" xfId="1832"/>
    <cellStyle name="PSChar_Bao cao tien do thuc hien chi dao va ket qua thu hoi NQH" xfId="1833"/>
    <cellStyle name="PSHeading" xfId="1834"/>
    <cellStyle name="regstoresfromspecstores" xfId="1835"/>
    <cellStyle name="Result 3_DOI CHIEU SO DU 31-12-2012-ACB" xfId="1836"/>
    <cellStyle name="RevList" xfId="1837"/>
    <cellStyle name="RevList 1" xfId="1838"/>
    <cellStyle name="RevList 2" xfId="1839"/>
    <cellStyle name="RevList 3" xfId="1840"/>
    <cellStyle name="RevList 4" xfId="1841"/>
    <cellStyle name="RevList 5" xfId="1842"/>
    <cellStyle name="RevList_Bao cao tien do thuc hien chi dao va ket qua thu hoi NQH" xfId="1843"/>
    <cellStyle name="S—_x0008_" xfId="1844"/>
    <cellStyle name="SHADEDSTORES" xfId="1845"/>
    <cellStyle name="specstores" xfId="1846"/>
    <cellStyle name="Standard_DB" xfId="1847"/>
    <cellStyle name="Style 1" xfId="1848"/>
    <cellStyle name="Style 1 1" xfId="1849"/>
    <cellStyle name="Style 1 2" xfId="1850"/>
    <cellStyle name="Style 1 3" xfId="1851"/>
    <cellStyle name="Style 1 4" xfId="1852"/>
    <cellStyle name="Style 1 5" xfId="1853"/>
    <cellStyle name="Style 1_Bang ke chi tiet QT CT" xfId="1854"/>
    <cellStyle name="Style 10" xfId="1855"/>
    <cellStyle name="Style 11" xfId="1856"/>
    <cellStyle name="Style 12" xfId="1857"/>
    <cellStyle name="Style 13" xfId="1858"/>
    <cellStyle name="Style 14" xfId="1859"/>
    <cellStyle name="Style 15" xfId="1860"/>
    <cellStyle name="Style 16" xfId="1861"/>
    <cellStyle name="Style 17" xfId="1862"/>
    <cellStyle name="Style 18" xfId="1863"/>
    <cellStyle name="Style 19" xfId="1864"/>
    <cellStyle name="Style 2" xfId="1865"/>
    <cellStyle name="Style 2 1" xfId="1866"/>
    <cellStyle name="Style 2 2" xfId="1867"/>
    <cellStyle name="Style 2 3" xfId="1868"/>
    <cellStyle name="Style 2 4" xfId="1869"/>
    <cellStyle name="Style 2 5" xfId="1870"/>
    <cellStyle name="Style 2_Bao cao tien do thuc hien chi dao va ket qua thu hoi NQH" xfId="1871"/>
    <cellStyle name="Style 20" xfId="1872"/>
    <cellStyle name="Style 21" xfId="1873"/>
    <cellStyle name="Style 22" xfId="1874"/>
    <cellStyle name="Style 23" xfId="1875"/>
    <cellStyle name="Style 24" xfId="1876"/>
    <cellStyle name="Style 25" xfId="1877"/>
    <cellStyle name="Style 26" xfId="1878"/>
    <cellStyle name="Style 27" xfId="1879"/>
    <cellStyle name="Style 28" xfId="1880"/>
    <cellStyle name="Style 29" xfId="1881"/>
    <cellStyle name="Style 3" xfId="1882"/>
    <cellStyle name="Style 3 1" xfId="1883"/>
    <cellStyle name="Style 3 2" xfId="1884"/>
    <cellStyle name="Style 3 3" xfId="1885"/>
    <cellStyle name="Style 3 4" xfId="1886"/>
    <cellStyle name="Style 3 5" xfId="1887"/>
    <cellStyle name="Style 3_Bao cao tien do thuc hien chi dao va ket qua thu hoi NQH" xfId="1888"/>
    <cellStyle name="Style 30" xfId="1889"/>
    <cellStyle name="Style 31" xfId="1890"/>
    <cellStyle name="Style 32" xfId="1891"/>
    <cellStyle name="Style 33" xfId="1892"/>
    <cellStyle name="Style 34" xfId="1893"/>
    <cellStyle name="Style 35" xfId="1894"/>
    <cellStyle name="Style 36" xfId="1895"/>
    <cellStyle name="Style 37" xfId="1896"/>
    <cellStyle name="Style 38" xfId="1897"/>
    <cellStyle name="Style 39" xfId="1898"/>
    <cellStyle name="Style 4" xfId="1899"/>
    <cellStyle name="Style 4 1" xfId="1900"/>
    <cellStyle name="Style 4 2" xfId="1901"/>
    <cellStyle name="Style 4 3" xfId="1902"/>
    <cellStyle name="Style 4 4" xfId="1903"/>
    <cellStyle name="Style 4 5" xfId="1904"/>
    <cellStyle name="Style 4_Bao cao tien do thuc hien chi dao va ket qua thu hoi NQH" xfId="1905"/>
    <cellStyle name="Style 40" xfId="1906"/>
    <cellStyle name="Style 41" xfId="1907"/>
    <cellStyle name="Style 42" xfId="1908"/>
    <cellStyle name="Style 43" xfId="1909"/>
    <cellStyle name="Style 44" xfId="1910"/>
    <cellStyle name="Style 45" xfId="1911"/>
    <cellStyle name="Style 46" xfId="1912"/>
    <cellStyle name="Style 47" xfId="1913"/>
    <cellStyle name="Style 48" xfId="1914"/>
    <cellStyle name="Style 5" xfId="1915"/>
    <cellStyle name="Style 6" xfId="1916"/>
    <cellStyle name="Style 7" xfId="1917"/>
    <cellStyle name="Style 8" xfId="1918"/>
    <cellStyle name="Style 9" xfId="1919"/>
    <cellStyle name="Style Date" xfId="1920"/>
    <cellStyle name="subhead" xfId="1921"/>
    <cellStyle name="subhead 1" xfId="1922"/>
    <cellStyle name="subhead 2" xfId="1923"/>
    <cellStyle name="subhead 3" xfId="1924"/>
    <cellStyle name="subhead 4" xfId="1925"/>
    <cellStyle name="subhead 5" xfId="1926"/>
    <cellStyle name="subhead_Bao cao tien do thuc hien chi dao va ket qua thu hoi NQH" xfId="1927"/>
    <cellStyle name="Subtotal" xfId="1928"/>
    <cellStyle name="Subtotal 1" xfId="1929"/>
    <cellStyle name="Subtotal 2" xfId="1930"/>
    <cellStyle name="Subtotal 3" xfId="1931"/>
    <cellStyle name="Subtotal 4" xfId="1932"/>
    <cellStyle name="Subtotal 5" xfId="1933"/>
    <cellStyle name="Subtotal_Bao cao tien do thuc hien chi dao va ket qua thu hoi NQH" xfId="1934"/>
    <cellStyle name="symbol" xfId="1935"/>
    <cellStyle name="T" xfId="1936"/>
    <cellStyle name="T 1" xfId="1937"/>
    <cellStyle name="T 2" xfId="1938"/>
    <cellStyle name="T 3" xfId="1939"/>
    <cellStyle name="T 4" xfId="1940"/>
    <cellStyle name="T 5" xfId="1941"/>
    <cellStyle name="T_Bao cao tien do thuc hien chi dao va ket qua thu hoi NQH" xfId="1942"/>
    <cellStyle name="T_Bao cao tien do thuc hien chi dao va ket qua thu hoi NQH_Chi tieu KT" xfId="1943"/>
    <cellStyle name="T_Bao cao tien do thuc hien chi dao va ket qua thu hoi NQH_Chi tieu KT_1" xfId="1944"/>
    <cellStyle name="T_Bao cao tien do thuc hien chi dao va ket qua thu hoi NQH_Chi tieu KT_Quy hoach" xfId="1945"/>
    <cellStyle name="T_Bao cao tien do thuc hien chi dao va ket qua thu hoi NQH_Chi tieu KT_Quy hoach_Van hoa-Xa hoi-Moi truong" xfId="1946"/>
    <cellStyle name="T_Bao cao tien do thuc hien chi dao va ket qua thu hoi NQH_Chi tieu KT_Van hoa-Xa hoi-Moi truong" xfId="1947"/>
    <cellStyle name="T_Bao cao tien do thuc hien chi dao va ket qua thu hoi NQH_Chi tieu KT_Van hoa-Xa hoi-Moi truong_1" xfId="1948"/>
    <cellStyle name="T_Bao cao tien do thuc hien chi dao va ket qua thu hoi NQH_Chi tieu KT_Van hoa-Xa hoi-Moi truong_Van hoa-Xa hoi-Moi truong" xfId="1949"/>
    <cellStyle name="T_Bao cao tien do thuc hien chi dao va ket qua thu hoi NQH_KH 2020" xfId="1950"/>
    <cellStyle name="T_Bao cao tien do thuc hien chi dao va ket qua thu hoi NQH_KH 2020_KH 2020" xfId="1951"/>
    <cellStyle name="T_Bao cao tien do thuc hien chi dao va ket qua thu hoi NQH_KH 2020_UTH2019" xfId="1952"/>
    <cellStyle name="T_Bao cao tien do thuc hien chi dao va ket qua thu hoi NQH_Van hoa-Xa hoi-Moi truong" xfId="1953"/>
    <cellStyle name="T_Chi tieu KT" xfId="1954"/>
    <cellStyle name="T_Chi tieu KT_1" xfId="1955"/>
    <cellStyle name="T_Chi tieu KT_Quy hoach" xfId="1956"/>
    <cellStyle name="T_Chi tieu KT_Quy hoach_Van hoa-Xa hoi-Moi truong" xfId="1957"/>
    <cellStyle name="T_Chi tieu KT_Van hoa-Xa hoi-Moi truong" xfId="1958"/>
    <cellStyle name="T_Chi tieu KT_Van hoa-Xa hoi-Moi truong_1" xfId="1959"/>
    <cellStyle name="T_Chi tieu KT_Van hoa-Xa hoi-Moi truong_Van hoa-Xa hoi-Moi truong" xfId="1960"/>
    <cellStyle name="T_Giao chi tieu 10 huyen, thanh pho 2019 (Gui huyen,TP)" xfId="1961"/>
    <cellStyle name="T_Giao chi tieu 10 huyen, thanh pho 2019 (Gui huyen,TP)_Chi tieu chu yeu 2020 (Quang)" xfId="1962"/>
    <cellStyle name="T_Giao chi tieu 10 huyen, thanh pho 2019 (Gui huyen,TP)_Chi tieu KT" xfId="1963"/>
    <cellStyle name="T_Giao chi tieu 10 huyen, thanh pho 2019 (Gui huyen,TP)_Chi tieu KT_1" xfId="1964"/>
    <cellStyle name="T_Giao chi tieu 10 huyen, thanh pho 2019 (Gui huyen,TP)_Chi tieu KT_1_Quy hoach" xfId="1965"/>
    <cellStyle name="T_Giao chi tieu 10 huyen, thanh pho 2019 (Gui huyen,TP)_Chi tieu KT_1_Quy hoach_Van hoa-Xa hoi-Moi truong" xfId="1966"/>
    <cellStyle name="T_Giao chi tieu 10 huyen, thanh pho 2019 (Gui huyen,TP)_Chi tieu KT_1_Van hoa-Xa hoi-Moi truong" xfId="1967"/>
    <cellStyle name="T_Giao chi tieu 10 huyen, thanh pho 2019 (Gui huyen,TP)_Chi tieu KT_1_Van hoa-Xa hoi-Moi truong_1" xfId="1968"/>
    <cellStyle name="T_Giao chi tieu 10 huyen, thanh pho 2019 (Gui huyen,TP)_Chi tieu KT_1_Van hoa-Xa hoi-Moi truong_Van hoa-Xa hoi-Moi truong" xfId="1969"/>
    <cellStyle name="T_Giao chi tieu 10 huyen, thanh pho 2019 (Gui huyen,TP)_Chi tieu KT_2" xfId="1970"/>
    <cellStyle name="T_Giao chi tieu 10 huyen, thanh pho 2019 (Gui huyen,TP)_Chi tieu KT_NSNN" xfId="1971"/>
    <cellStyle name="T_Giao chi tieu 10 huyen, thanh pho 2019 (Gui huyen,TP)_Chi tieu KT_Quy hoach" xfId="1972"/>
    <cellStyle name="T_Giao chi tieu 10 huyen, thanh pho 2019 (Gui huyen,TP)_Chi tieu KT_Quy hoach_NSNN" xfId="1973"/>
    <cellStyle name="T_Giao chi tieu 10 huyen, thanh pho 2019 (Gui huyen,TP)_Chi tieu KT_Quy hoach_Van hoa-Xa hoi-Moi truong" xfId="1974"/>
    <cellStyle name="T_Giao chi tieu 10 huyen, thanh pho 2019 (Gui huyen,TP)_Chi tieu KT_Quy hoach_Van hoa-Xa hoi-Moi truong_1" xfId="1975"/>
    <cellStyle name="T_Giao chi tieu 10 huyen, thanh pho 2019 (Gui huyen,TP)_Chi tieu KT_Quy hoach_Van hoa-Xa hoi-Moi truong_2" xfId="1976"/>
    <cellStyle name="T_Giao chi tieu 10 huyen, thanh pho 2019 (Gui huyen,TP)_Chi tieu KT_Van hoa-Xa hoi-Moi truong" xfId="1977"/>
    <cellStyle name="T_Giao chi tieu 10 huyen, thanh pho 2019 (Gui huyen,TP)_Chi tieu KT_Van hoa-Xa hoi-Moi truong_1" xfId="1978"/>
    <cellStyle name="T_Giao chi tieu 10 huyen, thanh pho 2019 (Gui huyen,TP)_Chi tieu KT_Van hoa-Xa hoi-Moi truong_2" xfId="1979"/>
    <cellStyle name="T_Giao chi tieu 10 huyen, thanh pho 2019 (Gui huyen,TP)_Chi tieu KT_Van hoa-Xa hoi-Moi truong_3" xfId="1980"/>
    <cellStyle name="T_Giao chi tieu 10 huyen, thanh pho 2019 (Gui huyen,TP)_Chi tieu KT_Van hoa-Xa hoi-Moi truong_NSNN" xfId="1981"/>
    <cellStyle name="T_Giao chi tieu 10 huyen, thanh pho 2019 (Gui huyen,TP)_Chi tieu KT_Van hoa-Xa hoi-Moi truong_Van hoa-Xa hoi-Moi truong" xfId="1982"/>
    <cellStyle name="T_Giao chi tieu 10 huyen, thanh pho 2019 (Gui huyen,TP)_Chi tieu KT_Van hoa-Xa hoi-Moi truong_Van hoa-Xa hoi-Moi truong_1" xfId="1983"/>
    <cellStyle name="T_Giao chi tieu 10 huyen, thanh pho 2019 (Gui huyen,TP)_Chi tieu KT_Van hoa-Xa hoi-Moi truong_Van hoa-Xa hoi-Moi truong_2" xfId="1984"/>
    <cellStyle name="T_Giao chi tieu 10 huyen, thanh pho 2019 (Gui huyen,TP)_KH 2020" xfId="1985"/>
    <cellStyle name="T_Giao chi tieu 10 huyen, thanh pho 2019 (Gui huyen,TP)_KH 2020_1" xfId="1986"/>
    <cellStyle name="T_Giao chi tieu 10 huyen, thanh pho 2019 (Gui huyen,TP)_KH 2020_2" xfId="1987"/>
    <cellStyle name="T_Giao chi tieu 10 huyen, thanh pho 2019 (Gui huyen,TP)_KH 2020_KH 2020" xfId="1988"/>
    <cellStyle name="T_Giao chi tieu 10 huyen, thanh pho 2019 (Gui huyen,TP)_KH 2020_UTH2019" xfId="1989"/>
    <cellStyle name="T_Giao chi tieu 10 huyen, thanh pho 2019 (Gui huyen,TP)_NN" xfId="1990"/>
    <cellStyle name="T_Giao chi tieu 10 huyen, thanh pho 2019 (Gui huyen,TP)_NSNN" xfId="1991"/>
    <cellStyle name="T_Giao chi tieu 10 huyen, thanh pho 2019 (Gui huyen,TP)_UTH2019" xfId="1992"/>
    <cellStyle name="T_Giao chi tieu 10 huyen, thanh pho 2019 (Gui huyen,TP)_Van hoa-Xa hoi-Moi truong" xfId="1993"/>
    <cellStyle name="T_Giao chi tieu 10 huyen, thanh pho 2019 (Gui huyen,TP)_Van hoa-Xa hoi-Moi truong_1" xfId="1994"/>
    <cellStyle name="T_Giao chi tieu 10 huyen, thanh pho 2019 (Gui huyen,TP)_Van hoa-Xa hoi-Moi truong_2" xfId="1995"/>
    <cellStyle name="T_Giao chi tieu 10 huyen, thanh pho 2019 (Gui huyen,TP)_Van hoa-Xa hoi-Moi truong_Van hoa-Xa hoi-Moi truong" xfId="1996"/>
    <cellStyle name="T_KH 2020" xfId="1997"/>
    <cellStyle name="T_KH 2020_KH 2020" xfId="1998"/>
    <cellStyle name="T_KH 2020_UTH2019" xfId="1999"/>
    <cellStyle name="T_LN70- NGAY 20.09.2013" xfId="2000"/>
    <cellStyle name="T_LN70- NGAY 20.09.2013_Chi tieu KT" xfId="2001"/>
    <cellStyle name="T_LN70- NGAY 20.09.2013_Chi tieu KT_1" xfId="2002"/>
    <cellStyle name="T_LN70- NGAY 20.09.2013_Chi tieu KT_Quy hoach" xfId="2003"/>
    <cellStyle name="T_LN70- NGAY 20.09.2013_Chi tieu KT_Quy hoach_Van hoa-Xa hoi-Moi truong" xfId="2004"/>
    <cellStyle name="T_LN70- NGAY 20.09.2013_Chi tieu KT_Van hoa-Xa hoi-Moi truong" xfId="2005"/>
    <cellStyle name="T_LN70- NGAY 20.09.2013_Chi tieu KT_Van hoa-Xa hoi-Moi truong_1" xfId="2006"/>
    <cellStyle name="T_LN70- NGAY 20.09.2013_Chi tieu KT_Van hoa-Xa hoi-Moi truong_Van hoa-Xa hoi-Moi truong" xfId="2007"/>
    <cellStyle name="T_LN70- NGAY 20.09.2013_KH 2020" xfId="2008"/>
    <cellStyle name="T_LN70- NGAY 20.09.2013_KH 2020_KH 2020" xfId="2009"/>
    <cellStyle name="T_LN70- NGAY 20.09.2013_KH 2020_UTH2019" xfId="2010"/>
    <cellStyle name="T_LN70- NGAY 20.09.2013_Van hoa-Xa hoi-Moi truong" xfId="2011"/>
    <cellStyle name="T_Thanh toan GD 2" xfId="2012"/>
    <cellStyle name="T_Thanh toan GD 2_Chi tieu KT" xfId="2013"/>
    <cellStyle name="T_Thanh toan GD 2_Chi tieu KT_1" xfId="2014"/>
    <cellStyle name="T_Thanh toan GD 2_Chi tieu KT_Quy hoach" xfId="2015"/>
    <cellStyle name="T_Thanh toan GD 2_Chi tieu KT_Quy hoach_Van hoa-Xa hoi-Moi truong" xfId="2016"/>
    <cellStyle name="T_Thanh toan GD 2_Chi tieu KT_Van hoa-Xa hoi-Moi truong" xfId="2017"/>
    <cellStyle name="T_Thanh toan GD 2_Chi tieu KT_Van hoa-Xa hoi-Moi truong_1" xfId="2018"/>
    <cellStyle name="T_Thanh toan GD 2_Chi tieu KT_Van hoa-Xa hoi-Moi truong_Van hoa-Xa hoi-Moi truong" xfId="2019"/>
    <cellStyle name="T_Thanh toan GD 2_KH 2020" xfId="2020"/>
    <cellStyle name="T_Thanh toan GD 2_KH 2020_KH 2020" xfId="2021"/>
    <cellStyle name="T_Thanh toan GD 2_KH 2020_UTH2019" xfId="2022"/>
    <cellStyle name="T_Thanh toan GD 2_Van hoa-Xa hoi-Moi truong" xfId="2023"/>
    <cellStyle name="T_TONG HOP DIEN THANG 04.2014(5)" xfId="2024"/>
    <cellStyle name="T_TONG HOP DIEN THANG 04.2014(5)_Chi tieu KT" xfId="2025"/>
    <cellStyle name="T_TONG HOP DIEN THANG 04.2014(5)_Chi tieu KT_1" xfId="2026"/>
    <cellStyle name="T_TONG HOP DIEN THANG 04.2014(5)_Chi tieu KT_Quy hoach" xfId="2027"/>
    <cellStyle name="T_TONG HOP DIEN THANG 04.2014(5)_Chi tieu KT_Quy hoach_Van hoa-Xa hoi-Moi truong" xfId="2028"/>
    <cellStyle name="T_TONG HOP DIEN THANG 04.2014(5)_Chi tieu KT_Van hoa-Xa hoi-Moi truong" xfId="2029"/>
    <cellStyle name="T_TONG HOP DIEN THANG 04.2014(5)_Chi tieu KT_Van hoa-Xa hoi-Moi truong_1" xfId="2030"/>
    <cellStyle name="T_TONG HOP DIEN THANG 04.2014(5)_Chi tieu KT_Van hoa-Xa hoi-Moi truong_Van hoa-Xa hoi-Moi truong" xfId="2031"/>
    <cellStyle name="T_TONG HOP DIEN THANG 04.2014(5)_KH 2020" xfId="2032"/>
    <cellStyle name="T_TONG HOP DIEN THANG 04.2014(5)_KH 2020_KH 2020" xfId="2033"/>
    <cellStyle name="T_TONG HOP DIEN THANG 04.2014(5)_KH 2020_UTH2019" xfId="2034"/>
    <cellStyle name="T_TONG HOP DIEN THANG 04.2014(5)_Van hoa-Xa hoi-Moi truong" xfId="2035"/>
    <cellStyle name="T_tong hop NTM cac xa 2019 (3)" xfId="2036"/>
    <cellStyle name="T_tong hop NTM cac xa 2019 (3)_Chi tieu KT" xfId="2037"/>
    <cellStyle name="T_tong hop NTM cac xa 2019 (3)_Chi tieu KT_1" xfId="2038"/>
    <cellStyle name="T_tong hop NTM cac xa 2019 (3)_Chi tieu KT_Quy hoach" xfId="2039"/>
    <cellStyle name="T_tong hop NTM cac xa 2019 (3)_Chi tieu KT_Quy hoach_Van hoa-Xa hoi-Moi truong" xfId="2040"/>
    <cellStyle name="T_tong hop NTM cac xa 2019 (3)_Chi tieu KT_Van hoa-Xa hoi-Moi truong" xfId="2041"/>
    <cellStyle name="T_tong hop NTM cac xa 2019 (3)_Chi tieu KT_Van hoa-Xa hoi-Moi truong_1" xfId="2042"/>
    <cellStyle name="T_tong hop NTM cac xa 2019 (3)_Chi tieu KT_Van hoa-Xa hoi-Moi truong_Van hoa-Xa hoi-Moi truong" xfId="2043"/>
    <cellStyle name="T_tong hop NTM cac xa 2019 (3)_KH 2020" xfId="2044"/>
    <cellStyle name="T_tong hop NTM cac xa 2019 (3)_KH 2020_KH 2020" xfId="2045"/>
    <cellStyle name="T_tong hop NTM cac xa 2019 (3)_KH 2020_UTH2019" xfId="2046"/>
    <cellStyle name="T_tong hop NTM cac xa 2019 (3)_Van hoa-Xa hoi-Moi truong" xfId="2047"/>
    <cellStyle name="T_Van hoa-Xa hoi-Moi truong" xfId="2048"/>
    <cellStyle name="T_Xa hoi" xfId="2049"/>
    <cellStyle name="T_Xa hoi_Chi tieu KT" xfId="2050"/>
    <cellStyle name="T_Xa hoi_Chi tieu KT_1" xfId="2051"/>
    <cellStyle name="T_Xa hoi_Chi tieu KT_Quy hoach" xfId="2052"/>
    <cellStyle name="T_Xa hoi_Chi tieu KT_Quy hoach_Van hoa-Xa hoi-Moi truong" xfId="2053"/>
    <cellStyle name="T_Xa hoi_Chi tieu KT_Van hoa-Xa hoi-Moi truong" xfId="2054"/>
    <cellStyle name="T_Xa hoi_Chi tieu KT_Van hoa-Xa hoi-Moi truong_1" xfId="2055"/>
    <cellStyle name="T_Xa hoi_Chi tieu KT_Van hoa-Xa hoi-Moi truong_Van hoa-Xa hoi-Moi truong" xfId="2056"/>
    <cellStyle name="T_Xa hoi_KH 2020" xfId="2057"/>
    <cellStyle name="T_Xa hoi_KH 2020_KH 2020" xfId="2058"/>
    <cellStyle name="T_Xa hoi_KH 2020_UTH2019" xfId="2059"/>
    <cellStyle name="T_Xa hoi_Van hoa-Xa hoi-Moi truong" xfId="2060"/>
    <cellStyle name="Text Indent A" xfId="2061"/>
    <cellStyle name="Text Indent B" xfId="2062"/>
    <cellStyle name="Text Indent C" xfId="2063"/>
    <cellStyle name="th" xfId="2064"/>
    <cellStyle name="th 1" xfId="2065"/>
    <cellStyle name="th 2" xfId="2066"/>
    <cellStyle name="th 3" xfId="2067"/>
    <cellStyle name="th 4" xfId="2068"/>
    <cellStyle name="th 5" xfId="2069"/>
    <cellStyle name="th_Bao cao tien do thuc hien chi dao va ket qua thu hoi NQH" xfId="2070"/>
    <cellStyle name="Thanh" xfId="2071"/>
    <cellStyle name="Thanh 1" xfId="2072"/>
    <cellStyle name="Thanh 2" xfId="2073"/>
    <cellStyle name="Thanh 3" xfId="2074"/>
    <cellStyle name="Thanh 4" xfId="2075"/>
    <cellStyle name="Thanh 5" xfId="2076"/>
    <cellStyle name="þ_x001d_ðK_x000c_Fý_x001b__x000d_9ýU_x0001_Ð_x0008_¦)_x0007__x0001__x0001_" xfId="2077"/>
    <cellStyle name="thuy" xfId="2078"/>
    <cellStyle name="thuy 1" xfId="2079"/>
    <cellStyle name="thuy 2" xfId="2080"/>
    <cellStyle name="thuy 3" xfId="2081"/>
    <cellStyle name="thuy 4" xfId="2082"/>
    <cellStyle name="thuy 5" xfId="2083"/>
    <cellStyle name="thvt" xfId="2084"/>
    <cellStyle name="thvt 1" xfId="2085"/>
    <cellStyle name="thvt 2" xfId="2086"/>
    <cellStyle name="thvt 3" xfId="2087"/>
    <cellStyle name="thvt 4" xfId="2088"/>
    <cellStyle name="thvt 5" xfId="2089"/>
    <cellStyle name="thvt_Bao cao tien do thuc hien chi dao va ket qua thu hoi NQH" xfId="2090"/>
    <cellStyle name="Tickmark" xfId="2091"/>
    <cellStyle name="Title" xfId="2092" builtinId="15" customBuiltin="1"/>
    <cellStyle name="Title 1" xfId="2093"/>
    <cellStyle name="Title 1 1" xfId="2094"/>
    <cellStyle name="Title 1 2" xfId="2095"/>
    <cellStyle name="Title 1 3" xfId="2096"/>
    <cellStyle name="Title 1 4" xfId="2097"/>
    <cellStyle name="Title 1 5" xfId="2098"/>
    <cellStyle name="Title 2" xfId="2099"/>
    <cellStyle name="Title 2 1" xfId="2100"/>
    <cellStyle name="Title 2 2" xfId="2101"/>
    <cellStyle name="Title 2 3" xfId="2102"/>
    <cellStyle name="Title 2 4" xfId="2103"/>
    <cellStyle name="Title 2 5" xfId="2104"/>
    <cellStyle name="Title 2_Bao cao tien do thuc hien chi dao va ket qua thu hoi NQH" xfId="2105"/>
    <cellStyle name="Title 3" xfId="2106"/>
    <cellStyle name="Title 4" xfId="2107"/>
    <cellStyle name="Tong so" xfId="2108"/>
    <cellStyle name="tong so 1" xfId="2109"/>
    <cellStyle name="Tong so_Chi tieu KT" xfId="2110"/>
    <cellStyle name="Total" xfId="2111" builtinId="25" customBuiltin="1"/>
    <cellStyle name="Total 1" xfId="2112"/>
    <cellStyle name="Total 1 1" xfId="2113"/>
    <cellStyle name="Total 1 2" xfId="2114"/>
    <cellStyle name="Total 1 2 1" xfId="2115"/>
    <cellStyle name="Total 1 2 2" xfId="2116"/>
    <cellStyle name="Total 1 2 3" xfId="2117"/>
    <cellStyle name="Total 1 2 4" xfId="2118"/>
    <cellStyle name="Total 1 2 5" xfId="2119"/>
    <cellStyle name="Total 1 2_Chi tieu KT" xfId="2120"/>
    <cellStyle name="Total 1 3" xfId="2121"/>
    <cellStyle name="Total 1 4" xfId="2122"/>
    <cellStyle name="Total 1 5" xfId="2123"/>
    <cellStyle name="Total 1 6" xfId="2124"/>
    <cellStyle name="Total 1_Bao cao tien do thuc hien chi dao va ket qua thu hoi NQH" xfId="2125"/>
    <cellStyle name="Total 2" xfId="2126"/>
    <cellStyle name="Total 2 1" xfId="2127"/>
    <cellStyle name="Total 2 2" xfId="2128"/>
    <cellStyle name="Total 2 3" xfId="2129"/>
    <cellStyle name="Total 2 4" xfId="2130"/>
    <cellStyle name="Total 2 5" xfId="2131"/>
    <cellStyle name="Total 2_Bao cao tien do thuc hien chi dao va ket qua thu hoi NQH" xfId="2132"/>
    <cellStyle name="Total 3" xfId="2133"/>
    <cellStyle name="Total 4" xfId="2134"/>
    <cellStyle name="viet" xfId="2135"/>
    <cellStyle name="viet 1" xfId="2136"/>
    <cellStyle name="viet 2" xfId="2137"/>
    <cellStyle name="viet 3" xfId="2138"/>
    <cellStyle name="viet 4" xfId="2139"/>
    <cellStyle name="viet 5" xfId="2140"/>
    <cellStyle name="viet_Bao cao tien do thuc hien chi dao va ket qua thu hoi NQH" xfId="2141"/>
    <cellStyle name="viet2" xfId="2142"/>
    <cellStyle name="viet2 1" xfId="2143"/>
    <cellStyle name="viet2 2" xfId="2144"/>
    <cellStyle name="viet2 3" xfId="2145"/>
    <cellStyle name="viet2 4" xfId="2146"/>
    <cellStyle name="viet2 5" xfId="2147"/>
    <cellStyle name="viet2_Bao cao tien do thuc hien chi dao va ket qua thu hoi NQH" xfId="2148"/>
    <cellStyle name="vnhead1" xfId="2149"/>
    <cellStyle name="vnhead3" xfId="2150"/>
    <cellStyle name="vntxt1" xfId="2151"/>
    <cellStyle name="vntxt2" xfId="2152"/>
    <cellStyle name="Währung [0]_UXO VII" xfId="2153"/>
    <cellStyle name="Währung_UXO VII" xfId="2154"/>
    <cellStyle name="Warning Text" xfId="2155" builtinId="11" customBuiltin="1"/>
    <cellStyle name="Warning Text 1" xfId="2156"/>
    <cellStyle name="Warning Text 1 1" xfId="2157"/>
    <cellStyle name="Warning Text 1 2" xfId="2158"/>
    <cellStyle name="Warning Text 1 3" xfId="2159"/>
    <cellStyle name="Warning Text 1 4" xfId="2160"/>
    <cellStyle name="Warning Text 1 5" xfId="2161"/>
    <cellStyle name="Warning Text 2" xfId="2162"/>
    <cellStyle name="Warning Text 2 1" xfId="2163"/>
    <cellStyle name="Warning Text 2 2" xfId="2164"/>
    <cellStyle name="Warning Text 2 3" xfId="2165"/>
    <cellStyle name="Warning Text 2 4" xfId="2166"/>
    <cellStyle name="Warning Text 2 5" xfId="2167"/>
    <cellStyle name="Warning Text 2_Bao cao tien do thuc hien chi dao va ket qua thu hoi NQH" xfId="2168"/>
    <cellStyle name="Warning Text 3" xfId="2169"/>
    <cellStyle name="Warning Text 4" xfId="2170"/>
    <cellStyle name="XComma" xfId="2171"/>
    <cellStyle name="XComma 0.0" xfId="2172"/>
    <cellStyle name="XComma 0.00" xfId="2173"/>
    <cellStyle name="XComma 0.000" xfId="2174"/>
    <cellStyle name="XCurrency" xfId="2175"/>
    <cellStyle name="XCurrency 0.0" xfId="2176"/>
    <cellStyle name="XCurrency 0.00" xfId="2177"/>
    <cellStyle name="XCurrency 0.000" xfId="2178"/>
    <cellStyle name="xuan" xfId="2179"/>
    <cellStyle name="センター" xfId="2180"/>
    <cellStyle name="センター 1" xfId="2181"/>
    <cellStyle name="センター 2" xfId="2182"/>
    <cellStyle name="センター 3" xfId="2183"/>
    <cellStyle name="センター 4" xfId="2184"/>
    <cellStyle name="センター 5" xfId="2185"/>
    <cellStyle name="センター_Bao cao tien do thuc hien chi dao va ket qua thu hoi NQH" xfId="2186"/>
    <cellStyle name="เครื่องหมายสกุลเงิน [0]_FTC_OFFER" xfId="2187"/>
    <cellStyle name="เครื่องหมายสกุลเงิน_FTC_OFFER" xfId="2188"/>
    <cellStyle name="ปกติ_FTC_OFFER" xfId="2189"/>
    <cellStyle name=" [0.00]_ Att. 1- Cover" xfId="2190"/>
    <cellStyle name="_ Att. 1- Cover" xfId="2191"/>
    <cellStyle name="?_ Att. 1- Cover" xfId="2192"/>
    <cellStyle name="똿뗦먛귟 [0.00]_PRODUCT DETAIL Q1" xfId="2193"/>
    <cellStyle name="똿뗦먛귟_PRODUCT DETAIL Q1" xfId="2194"/>
    <cellStyle name="믅됞 [0.00]_PRODUCT DETAIL Q1" xfId="2195"/>
    <cellStyle name="믅됞_PRODUCT DETAIL Q1" xfId="2196"/>
    <cellStyle name="백분율_95" xfId="2197"/>
    <cellStyle name="뷭?_BOOKSHIP" xfId="2198"/>
    <cellStyle name="쉼표 [0]_FABTEC AIR USA PANT 230302" xfId="2199"/>
    <cellStyle name="쉼표_Sample plan" xfId="2200"/>
    <cellStyle name="콤마 [0]_ 비목별 월별기술 " xfId="2201"/>
    <cellStyle name="콤마_ 비목별 월별기술 " xfId="2202"/>
    <cellStyle name="통화 [0]_1202" xfId="2203"/>
    <cellStyle name="통화_1202" xfId="2204"/>
    <cellStyle name="표준_(정보부문)월별인원계획" xfId="2205"/>
    <cellStyle name="표준_kc-elec system check list" xfId="2206"/>
    <cellStyle name="一般_00Q3902REV.1" xfId="2207"/>
    <cellStyle name="千位分隔_CCTV" xfId="2208"/>
    <cellStyle name="千分位[0]_00Q3902REV.1" xfId="2209"/>
    <cellStyle name="千分位_00Q3902REV.1" xfId="2210"/>
    <cellStyle name="常规_BA" xfId="2211"/>
    <cellStyle name="桁区切り [0.00]_††††† " xfId="2212"/>
    <cellStyle name="桁区切り_††††† " xfId="2213"/>
    <cellStyle name="標準_DISTRO" xfId="2214"/>
    <cellStyle name="貨幣 [0]_00Q3902REV.1" xfId="2215"/>
    <cellStyle name="貨幣[0]_BRE" xfId="2216"/>
    <cellStyle name="貨幣_00Q3902REV.1" xfId="2217"/>
    <cellStyle name="通貨 [0.00]_††††† " xfId="2218"/>
    <cellStyle name="通貨_††††† " xfId="2219"/>
  </cellStyles>
  <dxfs count="0"/>
  <tableStyles count="0" defaultTableStyle="TableStyleMedium2" defaultPivotStyle="PivotStyleLight16"/>
  <colors>
    <mruColors>
      <color rgb="FFCCFF66"/>
      <color rgb="FF0000FF"/>
      <color rgb="FFCC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B1" workbookViewId="0">
      <selection activeCell="A3" sqref="A3:K3"/>
    </sheetView>
  </sheetViews>
  <sheetFormatPr defaultColWidth="10.28515625" defaultRowHeight="15.75"/>
  <cols>
    <col min="1" max="1" width="10.28515625" style="480" hidden="1" customWidth="1"/>
    <col min="2" max="2" width="10.28515625" style="480" customWidth="1"/>
    <col min="3" max="3" width="3.42578125" style="480" customWidth="1"/>
    <col min="4" max="4" width="22.85546875" style="480" customWidth="1"/>
    <col min="5" max="6" width="10.28515625" style="480" customWidth="1"/>
    <col min="7" max="7" width="17.140625" style="480" customWidth="1"/>
    <col min="8" max="8" width="31.5703125" style="480" customWidth="1"/>
    <col min="9" max="16384" width="10.28515625" style="480"/>
  </cols>
  <sheetData>
    <row r="1" spans="1:11" ht="39.75" customHeight="1">
      <c r="B1" s="478"/>
      <c r="C1" s="478"/>
      <c r="D1" s="478"/>
      <c r="E1" s="478"/>
      <c r="F1" s="478"/>
      <c r="G1" s="478"/>
      <c r="H1" s="479"/>
    </row>
    <row r="2" spans="1:11" ht="68.25" customHeight="1">
      <c r="B2" s="599" t="s">
        <v>586</v>
      </c>
      <c r="C2" s="599"/>
      <c r="D2" s="599"/>
      <c r="E2" s="599"/>
      <c r="F2" s="599"/>
      <c r="G2" s="599"/>
      <c r="H2" s="599"/>
      <c r="I2" s="599"/>
      <c r="J2" s="599"/>
      <c r="K2" s="599"/>
    </row>
    <row r="3" spans="1:11" s="23" customFormat="1" ht="25.5" customHeight="1">
      <c r="A3" s="600" t="s">
        <v>594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</row>
    <row r="4" spans="1:11" s="481" customFormat="1" ht="31.5" customHeight="1">
      <c r="B4" s="597"/>
      <c r="C4" s="597"/>
      <c r="D4" s="597"/>
      <c r="E4" s="597"/>
      <c r="F4" s="597"/>
      <c r="G4" s="597"/>
      <c r="H4" s="597"/>
    </row>
    <row r="5" spans="1:11" ht="19.5" customHeight="1">
      <c r="B5" s="598"/>
      <c r="C5" s="598"/>
      <c r="D5" s="598"/>
      <c r="E5" s="598"/>
      <c r="F5" s="598"/>
      <c r="G5" s="598"/>
      <c r="H5" s="598"/>
    </row>
  </sheetData>
  <mergeCells count="4">
    <mergeCell ref="B4:H4"/>
    <mergeCell ref="B5:H5"/>
    <mergeCell ref="B2:K2"/>
    <mergeCell ref="A3:K3"/>
  </mergeCells>
  <printOptions horizontalCentered="1" verticalCentered="1"/>
  <pageMargins left="0.47" right="0.47" top="0.74803149606299213" bottom="0.74803149606299213" header="0.31496062992125984" footer="0.31496062992125984"/>
  <pageSetup paperSize="9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3" zoomScale="70" zoomScaleNormal="70" zoomScaleSheetLayoutView="70" workbookViewId="0">
      <selection activeCell="L11" sqref="L11"/>
    </sheetView>
  </sheetViews>
  <sheetFormatPr defaultColWidth="9.140625" defaultRowHeight="18.75"/>
  <cols>
    <col min="1" max="1" width="4.85546875" style="588" customWidth="1"/>
    <col min="2" max="2" width="60.7109375" style="133" customWidth="1"/>
    <col min="3" max="5" width="12.7109375" style="61" customWidth="1"/>
    <col min="6" max="6" width="14" style="61" customWidth="1"/>
    <col min="7" max="7" width="12.7109375" style="61" customWidth="1"/>
    <col min="8" max="9" width="12.7109375" style="23" customWidth="1"/>
    <col min="10" max="10" width="10.28515625" style="23" customWidth="1"/>
    <col min="11" max="11" width="11.140625" style="23" customWidth="1"/>
    <col min="12" max="12" width="10.28515625" style="23" customWidth="1"/>
    <col min="13" max="14" width="10" style="23" customWidth="1"/>
    <col min="15" max="15" width="10.140625" style="23" customWidth="1"/>
    <col min="16" max="16" width="9.7109375" style="23" customWidth="1"/>
    <col min="17" max="16384" width="9.140625" style="23"/>
  </cols>
  <sheetData>
    <row r="1" spans="1:10" ht="24.95" customHeight="1">
      <c r="A1" s="601" t="s">
        <v>225</v>
      </c>
      <c r="B1" s="601"/>
      <c r="C1" s="601"/>
      <c r="D1" s="601"/>
      <c r="E1" s="601"/>
      <c r="F1" s="601"/>
      <c r="G1" s="601"/>
      <c r="H1" s="601"/>
      <c r="I1" s="601"/>
    </row>
    <row r="2" spans="1:10" ht="24.95" customHeight="1">
      <c r="A2" s="604" t="s">
        <v>571</v>
      </c>
      <c r="B2" s="604"/>
      <c r="C2" s="604"/>
      <c r="D2" s="604"/>
      <c r="E2" s="604"/>
      <c r="F2" s="604"/>
      <c r="G2" s="604"/>
      <c r="H2" s="604"/>
      <c r="I2" s="604"/>
    </row>
    <row r="3" spans="1:10" ht="24.95" customHeight="1"/>
    <row r="4" spans="1:10" ht="25.5" customHeight="1">
      <c r="A4" s="605" t="s">
        <v>37</v>
      </c>
      <c r="B4" s="606" t="s">
        <v>31</v>
      </c>
      <c r="C4" s="606" t="s">
        <v>34</v>
      </c>
      <c r="D4" s="607" t="s">
        <v>572</v>
      </c>
      <c r="E4" s="607" t="s">
        <v>573</v>
      </c>
      <c r="F4" s="607"/>
      <c r="G4" s="607" t="s">
        <v>574</v>
      </c>
      <c r="H4" s="602" t="s">
        <v>30</v>
      </c>
      <c r="I4" s="603"/>
    </row>
    <row r="5" spans="1:10" ht="39.75" customHeight="1">
      <c r="A5" s="605"/>
      <c r="B5" s="607"/>
      <c r="C5" s="605"/>
      <c r="D5" s="607"/>
      <c r="E5" s="24" t="s">
        <v>33</v>
      </c>
      <c r="F5" s="24" t="s">
        <v>407</v>
      </c>
      <c r="G5" s="607"/>
      <c r="H5" s="148" t="s">
        <v>575</v>
      </c>
      <c r="I5" s="148" t="s">
        <v>576</v>
      </c>
    </row>
    <row r="6" spans="1:10" ht="29.25" customHeight="1">
      <c r="A6" s="196" t="s">
        <v>412</v>
      </c>
      <c r="B6" s="197" t="s">
        <v>553</v>
      </c>
      <c r="C6" s="196"/>
      <c r="D6" s="198"/>
      <c r="E6" s="199"/>
      <c r="F6" s="199"/>
      <c r="G6" s="198"/>
      <c r="H6" s="200"/>
      <c r="I6" s="200"/>
    </row>
    <row r="7" spans="1:10" ht="24.95" customHeight="1">
      <c r="A7" s="114"/>
      <c r="B7" s="30" t="s">
        <v>477</v>
      </c>
      <c r="C7" s="42" t="s">
        <v>35</v>
      </c>
      <c r="D7" s="66">
        <v>7.8221494394597073</v>
      </c>
      <c r="E7" s="66">
        <v>13.971713636011614</v>
      </c>
      <c r="F7" s="66">
        <f>'Bieu 3'!H27-100</f>
        <v>17.458690536551131</v>
      </c>
      <c r="G7" s="66">
        <f>'Bieu 3'!I27-100</f>
        <v>14.996066190899569</v>
      </c>
      <c r="H7" s="113" t="s">
        <v>52</v>
      </c>
      <c r="I7" s="114" t="s">
        <v>52</v>
      </c>
    </row>
    <row r="8" spans="1:10" ht="24.95" customHeight="1">
      <c r="A8" s="42"/>
      <c r="B8" s="30" t="s">
        <v>79</v>
      </c>
      <c r="C8" s="27" t="s">
        <v>175</v>
      </c>
      <c r="D8" s="39">
        <v>2949.8770421054637</v>
      </c>
      <c r="E8" s="39">
        <v>3299.9264732577271</v>
      </c>
      <c r="F8" s="39">
        <f>'Bieu 3'!F14</f>
        <v>3320</v>
      </c>
      <c r="G8" s="39">
        <f>'Bieu 3'!G14</f>
        <v>3800.2844052308606</v>
      </c>
      <c r="H8" s="84" t="s">
        <v>52</v>
      </c>
      <c r="I8" s="84" t="s">
        <v>52</v>
      </c>
      <c r="J8" s="29"/>
    </row>
    <row r="9" spans="1:10" ht="24.95" customHeight="1">
      <c r="A9" s="42"/>
      <c r="B9" s="30" t="s">
        <v>413</v>
      </c>
      <c r="C9" s="27" t="s">
        <v>35</v>
      </c>
      <c r="D9" s="66">
        <v>1.5</v>
      </c>
      <c r="E9" s="66">
        <v>2.5</v>
      </c>
      <c r="F9" s="65">
        <v>4</v>
      </c>
      <c r="G9" s="66">
        <v>3</v>
      </c>
      <c r="H9" s="84" t="s">
        <v>52</v>
      </c>
      <c r="I9" s="84" t="s">
        <v>52</v>
      </c>
      <c r="J9" s="29"/>
    </row>
    <row r="10" spans="1:10" s="147" customFormat="1" ht="37.5">
      <c r="A10" s="24"/>
      <c r="B10" s="117" t="s">
        <v>569</v>
      </c>
      <c r="C10" s="85" t="s">
        <v>35</v>
      </c>
      <c r="D10" s="65">
        <v>26.5</v>
      </c>
      <c r="E10" s="65">
        <v>29.5</v>
      </c>
      <c r="F10" s="65">
        <f>'Bieu 3'!F49</f>
        <v>29.5</v>
      </c>
      <c r="G10" s="65">
        <f>'Bieu 3'!G49</f>
        <v>31.5</v>
      </c>
      <c r="H10" s="107" t="s">
        <v>52</v>
      </c>
      <c r="I10" s="107" t="s">
        <v>52</v>
      </c>
      <c r="J10" s="161"/>
    </row>
    <row r="11" spans="1:10" ht="24.95" customHeight="1">
      <c r="A11" s="42"/>
      <c r="B11" s="30" t="s">
        <v>415</v>
      </c>
      <c r="C11" s="27" t="s">
        <v>35</v>
      </c>
      <c r="D11" s="66">
        <f>'Bieu 3'!D45</f>
        <v>9.9311969292785562</v>
      </c>
      <c r="E11" s="66">
        <f>'Bieu 3'!E45</f>
        <v>15.064793053295006</v>
      </c>
      <c r="F11" s="66">
        <f>'Bieu 3'!F45</f>
        <v>14.140866049812089</v>
      </c>
      <c r="G11" s="66">
        <f>'Bieu 3'!G45</f>
        <v>12.436450633486686</v>
      </c>
      <c r="H11" s="84" t="s">
        <v>52</v>
      </c>
      <c r="I11" s="84" t="s">
        <v>52</v>
      </c>
      <c r="J11" s="29"/>
    </row>
    <row r="12" spans="1:10" ht="24.95" customHeight="1">
      <c r="A12" s="42"/>
      <c r="B12" s="30" t="s">
        <v>546</v>
      </c>
      <c r="C12" s="27" t="s">
        <v>432</v>
      </c>
      <c r="D12" s="39">
        <v>15868.376</v>
      </c>
      <c r="E12" s="39">
        <v>19200</v>
      </c>
      <c r="F12" s="39">
        <f>'Bieu 2'!F42</f>
        <v>19200</v>
      </c>
      <c r="G12" s="39">
        <f>'Bieu 2'!G42</f>
        <v>23040</v>
      </c>
      <c r="H12" s="102">
        <f t="shared" ref="H12" si="0">F12/D12*100</f>
        <v>120.99536839812718</v>
      </c>
      <c r="I12" s="102">
        <f t="shared" ref="I12" si="1">G12/F12*100</f>
        <v>120</v>
      </c>
      <c r="J12" s="29"/>
    </row>
    <row r="13" spans="1:10" ht="24.95" customHeight="1">
      <c r="A13" s="42"/>
      <c r="B13" s="30" t="s">
        <v>416</v>
      </c>
      <c r="C13" s="27" t="str">
        <f>C14</f>
        <v>Tỷ đồng</v>
      </c>
      <c r="D13" s="39">
        <v>21886.432560444999</v>
      </c>
      <c r="E13" s="39">
        <v>14250</v>
      </c>
      <c r="F13" s="39">
        <f>'Bieu 2'!F7</f>
        <v>14628</v>
      </c>
      <c r="G13" s="39">
        <f>'Bieu 2'!G7</f>
        <v>12626</v>
      </c>
      <c r="H13" s="102">
        <f t="shared" ref="H13:H14" si="2">F13/D13*100</f>
        <v>66.835926593340531</v>
      </c>
      <c r="I13" s="102">
        <f t="shared" ref="I13:I14" si="3">G13/F13*100</f>
        <v>86.313918512441887</v>
      </c>
      <c r="J13" s="29"/>
    </row>
    <row r="14" spans="1:10" ht="24.95" customHeight="1">
      <c r="A14" s="42"/>
      <c r="B14" s="30" t="s">
        <v>490</v>
      </c>
      <c r="C14" s="27" t="s">
        <v>5</v>
      </c>
      <c r="D14" s="39">
        <v>62614.165000000001</v>
      </c>
      <c r="E14" s="39">
        <v>72000</v>
      </c>
      <c r="F14" s="39">
        <f>'Bieu 5'!F7</f>
        <v>74400</v>
      </c>
      <c r="G14" s="39">
        <f>'Bieu 5'!G7</f>
        <v>90000</v>
      </c>
      <c r="H14" s="102">
        <f t="shared" si="2"/>
        <v>118.82295324069243</v>
      </c>
      <c r="I14" s="102">
        <f t="shared" si="3"/>
        <v>120.96774193548387</v>
      </c>
      <c r="J14" s="29"/>
    </row>
    <row r="15" spans="1:10" s="44" customFormat="1" ht="24.95" customHeight="1">
      <c r="A15" s="196" t="s">
        <v>417</v>
      </c>
      <c r="B15" s="201" t="s">
        <v>425</v>
      </c>
      <c r="C15" s="202"/>
      <c r="D15" s="203"/>
      <c r="E15" s="203"/>
      <c r="F15" s="204"/>
      <c r="G15" s="203"/>
      <c r="H15" s="205"/>
      <c r="I15" s="205"/>
      <c r="J15" s="139"/>
    </row>
    <row r="16" spans="1:10" ht="24.95" customHeight="1">
      <c r="A16" s="42"/>
      <c r="B16" s="30" t="s">
        <v>475</v>
      </c>
      <c r="C16" s="27" t="s">
        <v>35</v>
      </c>
      <c r="D16" s="66">
        <f>'Bieu 6'!D31</f>
        <v>72</v>
      </c>
      <c r="E16" s="66" t="str">
        <f>'Bieu 6'!E31</f>
        <v>74,0</v>
      </c>
      <c r="F16" s="66">
        <f>'Bieu 6'!F31</f>
        <v>74</v>
      </c>
      <c r="G16" s="66" t="str">
        <f>'Bieu 6'!G31</f>
        <v>76,0</v>
      </c>
      <c r="H16" s="84" t="s">
        <v>52</v>
      </c>
      <c r="I16" s="84" t="s">
        <v>52</v>
      </c>
      <c r="J16" s="29"/>
    </row>
    <row r="17" spans="1:10" s="48" customFormat="1" ht="37.5">
      <c r="A17" s="45"/>
      <c r="B17" s="90" t="s">
        <v>418</v>
      </c>
      <c r="C17" s="46" t="s">
        <v>35</v>
      </c>
      <c r="D17" s="88">
        <f>'Bieu 6'!D33</f>
        <v>26.7</v>
      </c>
      <c r="E17" s="88">
        <f>'Bieu 6'!E33</f>
        <v>28.1</v>
      </c>
      <c r="F17" s="88">
        <f>'Bieu 6'!F33</f>
        <v>28.1</v>
      </c>
      <c r="G17" s="88">
        <f>'Bieu 6'!G33</f>
        <v>30</v>
      </c>
      <c r="H17" s="84" t="s">
        <v>52</v>
      </c>
      <c r="I17" s="84" t="s">
        <v>52</v>
      </c>
      <c r="J17" s="47"/>
    </row>
    <row r="18" spans="1:10" ht="24.95" customHeight="1">
      <c r="A18" s="42"/>
      <c r="B18" s="30" t="s">
        <v>419</v>
      </c>
      <c r="C18" s="27" t="s">
        <v>35</v>
      </c>
      <c r="D18" s="66">
        <f>'Bieu 6'!D59</f>
        <v>99.2</v>
      </c>
      <c r="E18" s="66">
        <f>'Bieu 6'!E59</f>
        <v>99.2</v>
      </c>
      <c r="F18" s="195">
        <f>'Bieu 6'!F59</f>
        <v>99.23</v>
      </c>
      <c r="G18" s="195">
        <f>'Bieu 6'!G59</f>
        <v>99.26</v>
      </c>
      <c r="H18" s="84" t="s">
        <v>52</v>
      </c>
      <c r="I18" s="84" t="s">
        <v>52</v>
      </c>
      <c r="J18" s="29"/>
    </row>
    <row r="19" spans="1:10" ht="24.95" customHeight="1">
      <c r="A19" s="42"/>
      <c r="B19" s="64" t="str">
        <f>'Bieu 6'!B38</f>
        <v>Tỷ lệ hộ nghèo (theo chuẩn nghèo mới 2021-2025)</v>
      </c>
      <c r="C19" s="27" t="s">
        <v>35</v>
      </c>
      <c r="D19" s="72">
        <f>'Bieu 6'!D43</f>
        <v>5.27</v>
      </c>
      <c r="E19" s="72">
        <f>'Bieu 6'!E43</f>
        <v>4.2</v>
      </c>
      <c r="F19" s="72">
        <f>'Bieu 6'!F43</f>
        <v>4.2</v>
      </c>
      <c r="G19" s="72">
        <f>'Bieu 6'!G43</f>
        <v>3</v>
      </c>
      <c r="H19" s="84" t="s">
        <v>52</v>
      </c>
      <c r="I19" s="84" t="s">
        <v>52</v>
      </c>
      <c r="J19" s="29"/>
    </row>
    <row r="20" spans="1:10" ht="39.6" customHeight="1">
      <c r="A20" s="42"/>
      <c r="B20" s="76" t="s">
        <v>420</v>
      </c>
      <c r="C20" s="27" t="s">
        <v>27</v>
      </c>
      <c r="D20" s="66">
        <f>'Bieu 6'!D46</f>
        <v>28.189999999999998</v>
      </c>
      <c r="E20" s="66">
        <f>'Bieu 6'!E46</f>
        <v>29.599852642436876</v>
      </c>
      <c r="F20" s="66">
        <f>'Bieu 6'!F46</f>
        <v>30.1</v>
      </c>
      <c r="G20" s="66">
        <f>'Bieu 6'!G46</f>
        <v>31.7</v>
      </c>
      <c r="H20" s="84" t="s">
        <v>52</v>
      </c>
      <c r="I20" s="84" t="s">
        <v>52</v>
      </c>
      <c r="J20" s="29"/>
    </row>
    <row r="21" spans="1:10" ht="24.95" customHeight="1">
      <c r="A21" s="42"/>
      <c r="B21" s="95" t="s">
        <v>474</v>
      </c>
      <c r="C21" s="46" t="s">
        <v>35</v>
      </c>
      <c r="D21" s="66">
        <f>'Bieu 6'!D119</f>
        <v>93.9</v>
      </c>
      <c r="E21" s="66">
        <f>'Bieu 6'!E119</f>
        <v>95</v>
      </c>
      <c r="F21" s="66">
        <f>'Bieu 6'!F119</f>
        <v>95</v>
      </c>
      <c r="G21" s="66">
        <f>'Bieu 6'!G119</f>
        <v>95</v>
      </c>
      <c r="H21" s="84" t="s">
        <v>52</v>
      </c>
      <c r="I21" s="84" t="s">
        <v>52</v>
      </c>
      <c r="J21" s="29"/>
    </row>
    <row r="22" spans="1:10" s="48" customFormat="1" ht="24.95" customHeight="1">
      <c r="A22" s="45"/>
      <c r="B22" s="77" t="s">
        <v>421</v>
      </c>
      <c r="C22" s="46" t="s">
        <v>35</v>
      </c>
      <c r="D22" s="66">
        <f>'Bieu 6'!D125</f>
        <v>15.8</v>
      </c>
      <c r="E22" s="66">
        <f>'Bieu 6'!E125</f>
        <v>19.100000000000001</v>
      </c>
      <c r="F22" s="66">
        <f>'Bieu 6'!F125</f>
        <v>19.100000000000001</v>
      </c>
      <c r="G22" s="66">
        <f>'Bieu 6'!G125</f>
        <v>19.678714859437751</v>
      </c>
      <c r="H22" s="84" t="s">
        <v>52</v>
      </c>
      <c r="I22" s="84" t="s">
        <v>52</v>
      </c>
      <c r="J22" s="47"/>
    </row>
    <row r="23" spans="1:10" s="48" customFormat="1" ht="24.95" customHeight="1">
      <c r="A23" s="45"/>
      <c r="B23" s="76" t="s">
        <v>495</v>
      </c>
      <c r="C23" s="27" t="s">
        <v>35</v>
      </c>
      <c r="D23" s="66">
        <f>'Bieu 6'!D158</f>
        <v>84</v>
      </c>
      <c r="E23" s="66">
        <f>'Bieu 6'!E158</f>
        <v>92</v>
      </c>
      <c r="F23" s="66">
        <f>'Bieu 6'!F158</f>
        <v>85.2</v>
      </c>
      <c r="G23" s="66">
        <f>'Bieu 6'!G158</f>
        <v>85.2</v>
      </c>
      <c r="H23" s="84" t="s">
        <v>52</v>
      </c>
      <c r="I23" s="84" t="s">
        <v>52</v>
      </c>
      <c r="J23" s="47"/>
    </row>
    <row r="24" spans="1:10" s="48" customFormat="1" ht="24.95" customHeight="1">
      <c r="A24" s="45"/>
      <c r="B24" s="96" t="s">
        <v>422</v>
      </c>
      <c r="C24" s="46" t="s">
        <v>35</v>
      </c>
      <c r="D24" s="66">
        <f>'Bieu 6'!D159</f>
        <v>80.7</v>
      </c>
      <c r="E24" s="66">
        <f>'Bieu 6'!E159</f>
        <v>81</v>
      </c>
      <c r="F24" s="66">
        <f>'Bieu 6'!F159</f>
        <v>81</v>
      </c>
      <c r="G24" s="66">
        <f>'Bieu 6'!G159</f>
        <v>81</v>
      </c>
      <c r="H24" s="84" t="s">
        <v>52</v>
      </c>
      <c r="I24" s="84" t="s">
        <v>52</v>
      </c>
      <c r="J24" s="47"/>
    </row>
    <row r="25" spans="1:10" s="48" customFormat="1" ht="37.5">
      <c r="A25" s="45"/>
      <c r="B25" s="96" t="s">
        <v>423</v>
      </c>
      <c r="C25" s="46" t="s">
        <v>35</v>
      </c>
      <c r="D25" s="66">
        <f>'Bieu 6'!D160</f>
        <v>88</v>
      </c>
      <c r="E25" s="66">
        <f>'Bieu 6'!E160</f>
        <v>88.5</v>
      </c>
      <c r="F25" s="66">
        <f>'Bieu 6'!F160</f>
        <v>88.5</v>
      </c>
      <c r="G25" s="66">
        <f>'Bieu 6'!G160</f>
        <v>88.6</v>
      </c>
      <c r="H25" s="84" t="s">
        <v>52</v>
      </c>
      <c r="I25" s="84" t="s">
        <v>52</v>
      </c>
      <c r="J25" s="47"/>
    </row>
    <row r="26" spans="1:10" s="48" customFormat="1" ht="24.95" customHeight="1">
      <c r="A26" s="45"/>
      <c r="B26" s="64" t="s">
        <v>424</v>
      </c>
      <c r="C26" s="46" t="s">
        <v>35</v>
      </c>
      <c r="D26" s="66">
        <f>'Bieu 6'!D13</f>
        <v>22.888598549488055</v>
      </c>
      <c r="E26" s="66">
        <f>'Bieu 6'!E13</f>
        <v>22.99830538802404</v>
      </c>
      <c r="F26" s="66">
        <f>'Bieu 6'!F13</f>
        <v>23.175017368421052</v>
      </c>
      <c r="G26" s="66">
        <f>'Bieu 6'!G13</f>
        <v>23.593005181347152</v>
      </c>
      <c r="H26" s="84" t="s">
        <v>52</v>
      </c>
      <c r="I26" s="84" t="s">
        <v>52</v>
      </c>
      <c r="J26" s="47"/>
    </row>
    <row r="27" spans="1:10" s="44" customFormat="1" ht="24.95" customHeight="1">
      <c r="A27" s="196" t="s">
        <v>426</v>
      </c>
      <c r="B27" s="206" t="s">
        <v>427</v>
      </c>
      <c r="C27" s="202"/>
      <c r="D27" s="203"/>
      <c r="E27" s="203"/>
      <c r="F27" s="204"/>
      <c r="G27" s="203"/>
      <c r="H27" s="207"/>
      <c r="I27" s="207"/>
      <c r="J27" s="139"/>
    </row>
    <row r="28" spans="1:10" s="48" customFormat="1" ht="24.95" customHeight="1">
      <c r="A28" s="45"/>
      <c r="B28" s="123" t="s">
        <v>505</v>
      </c>
      <c r="C28" s="46" t="s">
        <v>35</v>
      </c>
      <c r="D28" s="66">
        <f>'Bieu 6'!D163</f>
        <v>61.421639091296932</v>
      </c>
      <c r="E28" s="66">
        <f>'Bieu 6'!E163</f>
        <v>62.558872944824969</v>
      </c>
      <c r="F28" s="66">
        <f>'Bieu 6'!F163</f>
        <v>63.019228166208741</v>
      </c>
      <c r="G28" s="66">
        <f>'Bieu 6'!G163</f>
        <v>64.434833627756305</v>
      </c>
      <c r="H28" s="84" t="s">
        <v>52</v>
      </c>
      <c r="I28" s="84" t="s">
        <v>52</v>
      </c>
      <c r="J28" s="47"/>
    </row>
    <row r="29" spans="1:10" s="48" customFormat="1" ht="24.95" customHeight="1">
      <c r="A29" s="45"/>
      <c r="B29" s="123" t="s">
        <v>428</v>
      </c>
      <c r="C29" s="46" t="s">
        <v>35</v>
      </c>
      <c r="D29" s="66">
        <f>'Bieu 6'!D166</f>
        <v>89.3</v>
      </c>
      <c r="E29" s="66">
        <f>'Bieu 6'!E166</f>
        <v>93.1</v>
      </c>
      <c r="F29" s="66">
        <f>'Bieu 6'!F166</f>
        <v>93.1</v>
      </c>
      <c r="G29" s="66">
        <f>'Bieu 6'!G166</f>
        <v>93.5</v>
      </c>
      <c r="H29" s="84" t="s">
        <v>52</v>
      </c>
      <c r="I29" s="84" t="s">
        <v>52</v>
      </c>
      <c r="J29" s="47"/>
    </row>
    <row r="30" spans="1:10" s="48" customFormat="1" ht="24.95" customHeight="1">
      <c r="A30" s="45"/>
      <c r="B30" s="123" t="s">
        <v>584</v>
      </c>
      <c r="C30" s="46" t="s">
        <v>35</v>
      </c>
      <c r="D30" s="66">
        <f>'Bieu 6'!D169</f>
        <v>93</v>
      </c>
      <c r="E30" s="66">
        <f>'Bieu 6'!E169</f>
        <v>93</v>
      </c>
      <c r="F30" s="66">
        <f>'Bieu 6'!F169</f>
        <v>93</v>
      </c>
      <c r="G30" s="66">
        <f>'Bieu 6'!G169</f>
        <v>93.5</v>
      </c>
      <c r="H30" s="84" t="s">
        <v>52</v>
      </c>
      <c r="I30" s="84" t="s">
        <v>52</v>
      </c>
      <c r="J30" s="47"/>
    </row>
    <row r="31" spans="1:10" s="48" customFormat="1" ht="37.5">
      <c r="A31" s="45"/>
      <c r="B31" s="123" t="s">
        <v>570</v>
      </c>
      <c r="C31" s="46" t="str">
        <f>C30</f>
        <v>%</v>
      </c>
      <c r="D31" s="39">
        <f>'Bieu 6'!D175</f>
        <v>100</v>
      </c>
      <c r="E31" s="39">
        <f>'Bieu 6'!E175</f>
        <v>100</v>
      </c>
      <c r="F31" s="39">
        <f>'Bieu 6'!F175</f>
        <v>100</v>
      </c>
      <c r="G31" s="39">
        <f>'Bieu 6'!G175</f>
        <v>100</v>
      </c>
      <c r="H31" s="84" t="s">
        <v>52</v>
      </c>
      <c r="I31" s="84" t="s">
        <v>52</v>
      </c>
      <c r="J31" s="47"/>
    </row>
    <row r="32" spans="1:10" s="48" customFormat="1" ht="37.15" customHeight="1">
      <c r="A32" s="45"/>
      <c r="B32" s="123" t="s">
        <v>429</v>
      </c>
      <c r="C32" s="46" t="s">
        <v>35</v>
      </c>
      <c r="D32" s="66">
        <f>'Bieu 6'!D173</f>
        <v>50</v>
      </c>
      <c r="E32" s="66">
        <f>'Bieu 6'!E173</f>
        <v>78.099999999999994</v>
      </c>
      <c r="F32" s="66">
        <f>'Bieu 6'!F173</f>
        <v>78.099999999999994</v>
      </c>
      <c r="G32" s="66">
        <f>'Bieu 6'!G173</f>
        <v>87.5</v>
      </c>
      <c r="H32" s="84" t="s">
        <v>52</v>
      </c>
      <c r="I32" s="84" t="s">
        <v>52</v>
      </c>
      <c r="J32" s="47"/>
    </row>
    <row r="33" spans="1:10" s="48" customFormat="1" ht="37.15" customHeight="1">
      <c r="A33" s="45"/>
      <c r="B33" s="108" t="s">
        <v>431</v>
      </c>
      <c r="C33" s="46" t="s">
        <v>35</v>
      </c>
      <c r="D33" s="66">
        <f>'Bieu 6'!D178</f>
        <v>80</v>
      </c>
      <c r="E33" s="66">
        <f>'Bieu 6'!E178</f>
        <v>82</v>
      </c>
      <c r="F33" s="66">
        <f>'Bieu 6'!F178</f>
        <v>82</v>
      </c>
      <c r="G33" s="66">
        <f>'Bieu 6'!G178</f>
        <v>83</v>
      </c>
      <c r="H33" s="84" t="s">
        <v>52</v>
      </c>
      <c r="I33" s="84" t="s">
        <v>52</v>
      </c>
      <c r="J33" s="47"/>
    </row>
    <row r="34" spans="1:10" s="48" customFormat="1" ht="24.95" customHeight="1">
      <c r="A34" s="45"/>
      <c r="B34" s="127" t="s">
        <v>430</v>
      </c>
      <c r="C34" s="46" t="s">
        <v>35</v>
      </c>
      <c r="D34" s="66">
        <f>'Bieu 4'!D160</f>
        <v>38</v>
      </c>
      <c r="E34" s="66">
        <f>'Bieu 4'!E160</f>
        <v>38</v>
      </c>
      <c r="F34" s="66">
        <f>'Bieu 4'!F160</f>
        <v>38</v>
      </c>
      <c r="G34" s="66">
        <f>'Bieu 4'!G160</f>
        <v>37.799999999999997</v>
      </c>
      <c r="H34" s="84" t="s">
        <v>52</v>
      </c>
      <c r="I34" s="84" t="s">
        <v>52</v>
      </c>
      <c r="J34" s="47"/>
    </row>
  </sheetData>
  <sheetProtection formatCells="0" formatColumns="0" formatRows="0" insertColumns="0" insertRows="0" insertHyperlinks="0" deleteColumns="0" deleteRows="0" sort="0" autoFilter="0" pivotTables="0"/>
  <mergeCells count="9">
    <mergeCell ref="A1:I1"/>
    <mergeCell ref="H4:I4"/>
    <mergeCell ref="A2:I2"/>
    <mergeCell ref="A4:A5"/>
    <mergeCell ref="B4:B5"/>
    <mergeCell ref="C4:C5"/>
    <mergeCell ref="D4:D5"/>
    <mergeCell ref="E4:F4"/>
    <mergeCell ref="G4:G5"/>
  </mergeCells>
  <phoneticPr fontId="0" type="noConversion"/>
  <printOptions horizontalCentered="1"/>
  <pageMargins left="0.43307086614173229" right="0.43307086614173229" top="0.74803149606299213" bottom="0.70866141732283472" header="0.35433070866141736" footer="0.27559055118110237"/>
  <pageSetup paperSize="9" scale="88" orientation="landscape" verticalDpi="300" r:id="rId1"/>
  <headerFooter differentFirst="1" alignWithMargins="0"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64" zoomScaleNormal="100" zoomScaleSheetLayoutView="70" zoomScalePageLayoutView="40" workbookViewId="0">
      <selection activeCell="J6" sqref="J6:L24"/>
    </sheetView>
  </sheetViews>
  <sheetFormatPr defaultColWidth="9.140625" defaultRowHeight="18.75"/>
  <cols>
    <col min="1" max="1" width="4.85546875" style="253" customWidth="1"/>
    <col min="2" max="2" width="60.7109375" style="133" customWidth="1"/>
    <col min="3" max="3" width="12.85546875" style="61" customWidth="1"/>
    <col min="4" max="7" width="13.7109375" style="61" customWidth="1"/>
    <col min="8" max="9" width="13.7109375" style="23" customWidth="1"/>
    <col min="10" max="10" width="10.28515625" style="23" customWidth="1"/>
    <col min="11" max="11" width="14" style="23" customWidth="1"/>
    <col min="12" max="12" width="10" style="23" customWidth="1"/>
    <col min="13" max="13" width="10.140625" style="23" customWidth="1"/>
    <col min="14" max="14" width="9.7109375" style="23" customWidth="1"/>
    <col min="15" max="16384" width="9.140625" style="23"/>
  </cols>
  <sheetData>
    <row r="1" spans="1:11" ht="25.15" customHeight="1">
      <c r="A1" s="608" t="s">
        <v>224</v>
      </c>
      <c r="B1" s="608"/>
      <c r="C1" s="608"/>
      <c r="D1" s="608"/>
      <c r="E1" s="608"/>
      <c r="F1" s="608"/>
      <c r="G1" s="608"/>
      <c r="H1" s="608"/>
      <c r="I1" s="608"/>
    </row>
    <row r="2" spans="1:11" ht="25.15" customHeight="1">
      <c r="A2" s="609" t="s">
        <v>433</v>
      </c>
      <c r="B2" s="609"/>
      <c r="C2" s="609"/>
      <c r="D2" s="609"/>
      <c r="E2" s="609"/>
      <c r="F2" s="609"/>
      <c r="G2" s="609"/>
      <c r="H2" s="609"/>
      <c r="I2" s="609"/>
    </row>
    <row r="3" spans="1:11" ht="17.25" customHeight="1">
      <c r="A3" s="461"/>
      <c r="B3" s="462"/>
      <c r="C3" s="463"/>
      <c r="D3" s="463"/>
      <c r="E3" s="463"/>
      <c r="F3" s="463"/>
      <c r="G3" s="463"/>
      <c r="H3" s="464"/>
      <c r="I3" s="464"/>
    </row>
    <row r="4" spans="1:11" ht="25.5" customHeight="1">
      <c r="A4" s="605" t="s">
        <v>37</v>
      </c>
      <c r="B4" s="606" t="s">
        <v>31</v>
      </c>
      <c r="C4" s="606" t="s">
        <v>34</v>
      </c>
      <c r="D4" s="607" t="s">
        <v>572</v>
      </c>
      <c r="E4" s="607" t="s">
        <v>573</v>
      </c>
      <c r="F4" s="607"/>
      <c r="G4" s="607" t="s">
        <v>574</v>
      </c>
      <c r="H4" s="602" t="s">
        <v>30</v>
      </c>
      <c r="I4" s="603"/>
    </row>
    <row r="5" spans="1:11" ht="56.25">
      <c r="A5" s="605"/>
      <c r="B5" s="607"/>
      <c r="C5" s="605"/>
      <c r="D5" s="607"/>
      <c r="E5" s="24" t="s">
        <v>33</v>
      </c>
      <c r="F5" s="24" t="s">
        <v>407</v>
      </c>
      <c r="G5" s="607"/>
      <c r="H5" s="148" t="s">
        <v>575</v>
      </c>
      <c r="I5" s="148" t="s">
        <v>576</v>
      </c>
    </row>
    <row r="6" spans="1:11" s="44" customFormat="1" ht="26.25" customHeight="1">
      <c r="A6" s="196" t="s">
        <v>38</v>
      </c>
      <c r="B6" s="209" t="s">
        <v>435</v>
      </c>
      <c r="C6" s="202"/>
      <c r="D6" s="203"/>
      <c r="E6" s="203"/>
      <c r="F6" s="204"/>
      <c r="G6" s="203"/>
      <c r="H6" s="205"/>
      <c r="I6" s="205"/>
    </row>
    <row r="7" spans="1:11" s="44" customFormat="1" ht="24.95" customHeight="1">
      <c r="A7" s="254">
        <v>1</v>
      </c>
      <c r="B7" s="162" t="s">
        <v>416</v>
      </c>
      <c r="C7" s="112" t="s">
        <v>5</v>
      </c>
      <c r="D7" s="169">
        <f>D8+D21</f>
        <v>21886.432560444999</v>
      </c>
      <c r="E7" s="169">
        <f>E8+E21</f>
        <v>14250</v>
      </c>
      <c r="F7" s="169">
        <f t="shared" ref="F7:G7" si="0">F8+F21</f>
        <v>14628</v>
      </c>
      <c r="G7" s="169">
        <f t="shared" si="0"/>
        <v>12626</v>
      </c>
      <c r="H7" s="167">
        <f>F7/D7*100</f>
        <v>66.835926593340531</v>
      </c>
      <c r="I7" s="167">
        <f>G7/F7*100</f>
        <v>86.313918512441887</v>
      </c>
      <c r="J7" s="248"/>
    </row>
    <row r="8" spans="1:11" ht="23.25" customHeight="1">
      <c r="A8" s="134" t="s">
        <v>54</v>
      </c>
      <c r="B8" s="140" t="s">
        <v>176</v>
      </c>
      <c r="C8" s="141" t="s">
        <v>5</v>
      </c>
      <c r="D8" s="169">
        <f>20214.432560445+72</f>
        <v>20286.432560444999</v>
      </c>
      <c r="E8" s="169">
        <v>12550</v>
      </c>
      <c r="F8" s="169">
        <v>12928</v>
      </c>
      <c r="G8" s="169">
        <v>10776</v>
      </c>
      <c r="H8" s="167">
        <f t="shared" ref="H8:H23" si="1">F8/D8*100</f>
        <v>63.727321013588863</v>
      </c>
      <c r="I8" s="167">
        <f t="shared" ref="I8" si="2">G8/F8*100</f>
        <v>83.353960396039611</v>
      </c>
      <c r="J8" s="248"/>
      <c r="K8" s="29"/>
    </row>
    <row r="9" spans="1:11" ht="37.5">
      <c r="A9" s="45" t="s">
        <v>78</v>
      </c>
      <c r="B9" s="142" t="s">
        <v>391</v>
      </c>
      <c r="C9" s="46" t="s">
        <v>5</v>
      </c>
      <c r="D9" s="145">
        <f>D8-D18-D19-D20</f>
        <v>7096.1400746949985</v>
      </c>
      <c r="E9" s="145">
        <f>E8-E18-E19-E20</f>
        <v>5485</v>
      </c>
      <c r="F9" s="145">
        <f t="shared" ref="F9:G9" si="3">F8-F18-F19-F20</f>
        <v>5865</v>
      </c>
      <c r="G9" s="145">
        <f t="shared" si="3"/>
        <v>6245</v>
      </c>
      <c r="H9" s="465">
        <f t="shared" si="1"/>
        <v>82.650566903473717</v>
      </c>
      <c r="I9" s="465">
        <f t="shared" ref="I9:I24" si="4">G9/F9*100</f>
        <v>106.47911338448424</v>
      </c>
      <c r="J9" s="248"/>
    </row>
    <row r="10" spans="1:11" ht="24.95" customHeight="1">
      <c r="A10" s="42"/>
      <c r="B10" s="143" t="s">
        <v>554</v>
      </c>
      <c r="C10" s="27" t="s">
        <v>5</v>
      </c>
      <c r="D10" s="51">
        <v>460.63299999999998</v>
      </c>
      <c r="E10" s="116">
        <v>430</v>
      </c>
      <c r="F10" s="51">
        <v>440</v>
      </c>
      <c r="G10" s="39">
        <v>465</v>
      </c>
      <c r="H10" s="102">
        <f t="shared" si="1"/>
        <v>95.520729083673999</v>
      </c>
      <c r="I10" s="102">
        <f t="shared" si="4"/>
        <v>105.68181818181819</v>
      </c>
      <c r="J10" s="248"/>
      <c r="K10" s="29"/>
    </row>
    <row r="11" spans="1:11" ht="24.95" customHeight="1">
      <c r="A11" s="42"/>
      <c r="B11" s="56" t="s">
        <v>555</v>
      </c>
      <c r="C11" s="27" t="s">
        <v>5</v>
      </c>
      <c r="D11" s="51">
        <v>101.977</v>
      </c>
      <c r="E11" s="116">
        <v>30</v>
      </c>
      <c r="F11" s="51">
        <v>43</v>
      </c>
      <c r="G11" s="39">
        <v>47</v>
      </c>
      <c r="H11" s="102">
        <f t="shared" si="1"/>
        <v>42.16637084832854</v>
      </c>
      <c r="I11" s="102">
        <f t="shared" si="4"/>
        <v>109.30232558139534</v>
      </c>
      <c r="J11" s="248"/>
    </row>
    <row r="12" spans="1:11" ht="24.95" customHeight="1">
      <c r="A12" s="42"/>
      <c r="B12" s="56" t="s">
        <v>552</v>
      </c>
      <c r="C12" s="27" t="s">
        <v>5</v>
      </c>
      <c r="D12" s="51">
        <v>1548.2429999999999</v>
      </c>
      <c r="E12" s="116">
        <v>1200</v>
      </c>
      <c r="F12" s="51">
        <v>1160</v>
      </c>
      <c r="G12" s="39">
        <v>1370</v>
      </c>
      <c r="H12" s="102">
        <f t="shared" si="1"/>
        <v>74.923639247844179</v>
      </c>
      <c r="I12" s="102">
        <f t="shared" si="4"/>
        <v>118.10344827586208</v>
      </c>
      <c r="J12" s="248"/>
    </row>
    <row r="13" spans="1:11" ht="24.95" customHeight="1">
      <c r="A13" s="254"/>
      <c r="B13" s="56" t="s">
        <v>556</v>
      </c>
      <c r="C13" s="27" t="s">
        <v>5</v>
      </c>
      <c r="D13" s="51">
        <v>1479.1159958989999</v>
      </c>
      <c r="E13" s="116">
        <v>1200</v>
      </c>
      <c r="F13" s="51">
        <v>1347</v>
      </c>
      <c r="G13" s="39">
        <v>1531</v>
      </c>
      <c r="H13" s="102">
        <f t="shared" si="1"/>
        <v>91.067908381404507</v>
      </c>
      <c r="I13" s="102">
        <f t="shared" si="4"/>
        <v>113.65998515219005</v>
      </c>
      <c r="J13" s="248"/>
    </row>
    <row r="14" spans="1:11" ht="24.95" customHeight="1">
      <c r="A14" s="254"/>
      <c r="B14" s="56" t="s">
        <v>392</v>
      </c>
      <c r="C14" s="27" t="s">
        <v>5</v>
      </c>
      <c r="D14" s="51">
        <v>953.46462039599999</v>
      </c>
      <c r="E14" s="116">
        <v>860</v>
      </c>
      <c r="F14" s="51">
        <v>1100</v>
      </c>
      <c r="G14" s="39">
        <v>1000</v>
      </c>
      <c r="H14" s="102">
        <f t="shared" si="1"/>
        <v>115.3687275300409</v>
      </c>
      <c r="I14" s="102">
        <f t="shared" si="4"/>
        <v>90.909090909090907</v>
      </c>
      <c r="J14" s="248"/>
    </row>
    <row r="15" spans="1:11" ht="24.95" customHeight="1">
      <c r="A15" s="254"/>
      <c r="B15" s="56" t="s">
        <v>393</v>
      </c>
      <c r="C15" s="27" t="s">
        <v>5</v>
      </c>
      <c r="D15" s="51">
        <v>529.85900000000004</v>
      </c>
      <c r="E15" s="116">
        <v>525</v>
      </c>
      <c r="F15" s="51">
        <v>310</v>
      </c>
      <c r="G15" s="39">
        <v>500</v>
      </c>
      <c r="H15" s="102">
        <f t="shared" si="1"/>
        <v>58.506130876327468</v>
      </c>
      <c r="I15" s="102">
        <f t="shared" si="4"/>
        <v>161.29032258064515</v>
      </c>
      <c r="J15" s="248"/>
    </row>
    <row r="16" spans="1:11" ht="24.95" customHeight="1">
      <c r="A16" s="254"/>
      <c r="B16" s="56" t="s">
        <v>394</v>
      </c>
      <c r="C16" s="27" t="s">
        <v>5</v>
      </c>
      <c r="D16" s="51">
        <v>621.04318562699996</v>
      </c>
      <c r="E16" s="116">
        <v>560</v>
      </c>
      <c r="F16" s="51">
        <v>600</v>
      </c>
      <c r="G16" s="39">
        <v>620</v>
      </c>
      <c r="H16" s="102">
        <f t="shared" si="1"/>
        <v>96.611638914328495</v>
      </c>
      <c r="I16" s="102">
        <f t="shared" si="4"/>
        <v>103.33333333333334</v>
      </c>
      <c r="J16" s="248"/>
    </row>
    <row r="17" spans="1:12" ht="24.95" customHeight="1">
      <c r="A17" s="254"/>
      <c r="B17" s="56" t="s">
        <v>395</v>
      </c>
      <c r="C17" s="27" t="s">
        <v>5</v>
      </c>
      <c r="D17" s="51">
        <f>D9-D10-D11-D12-D13-D14-D15-D16</f>
        <v>1401.8042727729992</v>
      </c>
      <c r="E17" s="52">
        <f>E9-E10-E11-E12-E13-E14-E15-E16</f>
        <v>680</v>
      </c>
      <c r="F17" s="52">
        <f t="shared" ref="F17:G17" si="5">F9-F10-F11-F12-F13-F14-F15-F16</f>
        <v>865</v>
      </c>
      <c r="G17" s="52">
        <f t="shared" si="5"/>
        <v>712</v>
      </c>
      <c r="H17" s="102">
        <f t="shared" si="1"/>
        <v>61.706189430346633</v>
      </c>
      <c r="I17" s="102">
        <f t="shared" si="4"/>
        <v>82.312138728323703</v>
      </c>
      <c r="J17" s="248"/>
    </row>
    <row r="18" spans="1:12" ht="24.95" customHeight="1">
      <c r="A18" s="45" t="s">
        <v>78</v>
      </c>
      <c r="B18" s="56" t="s">
        <v>177</v>
      </c>
      <c r="C18" s="27" t="s">
        <v>5</v>
      </c>
      <c r="D18" s="40">
        <v>25.286000000000001</v>
      </c>
      <c r="E18" s="39">
        <v>27</v>
      </c>
      <c r="F18" s="40">
        <v>25</v>
      </c>
      <c r="G18" s="39">
        <v>25</v>
      </c>
      <c r="H18" s="102">
        <f t="shared" si="1"/>
        <v>98.868939334018819</v>
      </c>
      <c r="I18" s="102">
        <f t="shared" si="4"/>
        <v>100</v>
      </c>
      <c r="J18" s="248"/>
    </row>
    <row r="19" spans="1:12" s="48" customFormat="1" ht="24.95" customHeight="1">
      <c r="A19" s="45" t="s">
        <v>78</v>
      </c>
      <c r="B19" s="56" t="s">
        <v>260</v>
      </c>
      <c r="C19" s="27" t="s">
        <v>5</v>
      </c>
      <c r="D19" s="40">
        <v>13057.60448575</v>
      </c>
      <c r="E19" s="39">
        <v>7030</v>
      </c>
      <c r="F19" s="39">
        <v>7030</v>
      </c>
      <c r="G19" s="39">
        <v>4500</v>
      </c>
      <c r="H19" s="102">
        <f t="shared" si="1"/>
        <v>53.838359154406653</v>
      </c>
      <c r="I19" s="102">
        <f t="shared" si="4"/>
        <v>64.01137980085349</v>
      </c>
      <c r="J19" s="248"/>
    </row>
    <row r="20" spans="1:12" s="48" customFormat="1" ht="24.95" customHeight="1">
      <c r="A20" s="45" t="s">
        <v>78</v>
      </c>
      <c r="B20" s="56" t="s">
        <v>261</v>
      </c>
      <c r="C20" s="27" t="str">
        <f>C19</f>
        <v>Tỷ đồng</v>
      </c>
      <c r="D20" s="40">
        <v>107.402</v>
      </c>
      <c r="E20" s="78">
        <v>8</v>
      </c>
      <c r="F20" s="40">
        <v>8</v>
      </c>
      <c r="G20" s="39">
        <v>6</v>
      </c>
      <c r="H20" s="102">
        <f t="shared" si="1"/>
        <v>7.4486508631124186</v>
      </c>
      <c r="I20" s="102">
        <f t="shared" si="4"/>
        <v>75</v>
      </c>
    </row>
    <row r="21" spans="1:12" s="48" customFormat="1" ht="21.95" customHeight="1">
      <c r="A21" s="35" t="s">
        <v>55</v>
      </c>
      <c r="B21" s="34" t="s">
        <v>178</v>
      </c>
      <c r="C21" s="141" t="str">
        <f>C22</f>
        <v>Tỷ đồng</v>
      </c>
      <c r="D21" s="169">
        <f>D22+D23</f>
        <v>1600</v>
      </c>
      <c r="E21" s="169">
        <f>E22+E23</f>
        <v>1700</v>
      </c>
      <c r="F21" s="169">
        <f t="shared" ref="F21:G21" si="6">F22+F23</f>
        <v>1700</v>
      </c>
      <c r="G21" s="169">
        <f t="shared" si="6"/>
        <v>1850</v>
      </c>
      <c r="H21" s="167">
        <f t="shared" si="1"/>
        <v>106.25</v>
      </c>
      <c r="I21" s="167">
        <f t="shared" si="4"/>
        <v>108.8235294117647</v>
      </c>
      <c r="J21" s="156"/>
    </row>
    <row r="22" spans="1:12" ht="25.15" customHeight="1">
      <c r="A22" s="33"/>
      <c r="B22" s="144" t="s">
        <v>557</v>
      </c>
      <c r="C22" s="27" t="s">
        <v>5</v>
      </c>
      <c r="D22" s="31">
        <v>1350</v>
      </c>
      <c r="E22" s="39">
        <v>1300</v>
      </c>
      <c r="F22" s="31">
        <v>1300</v>
      </c>
      <c r="G22" s="39">
        <v>1400</v>
      </c>
      <c r="H22" s="102">
        <f t="shared" si="1"/>
        <v>96.296296296296291</v>
      </c>
      <c r="I22" s="102">
        <f t="shared" si="4"/>
        <v>107.69230769230769</v>
      </c>
    </row>
    <row r="23" spans="1:12" ht="25.15" customHeight="1">
      <c r="A23" s="35"/>
      <c r="B23" s="36" t="s">
        <v>396</v>
      </c>
      <c r="C23" s="27" t="s">
        <v>5</v>
      </c>
      <c r="D23" s="31">
        <v>250</v>
      </c>
      <c r="E23" s="39">
        <v>400</v>
      </c>
      <c r="F23" s="31">
        <v>400</v>
      </c>
      <c r="G23" s="39">
        <v>450</v>
      </c>
      <c r="H23" s="102">
        <f t="shared" si="1"/>
        <v>160</v>
      </c>
      <c r="I23" s="102">
        <f>G23/F23*100</f>
        <v>112.5</v>
      </c>
    </row>
    <row r="24" spans="1:12" ht="29.25" customHeight="1">
      <c r="A24" s="254">
        <v>2</v>
      </c>
      <c r="B24" s="136" t="s">
        <v>2</v>
      </c>
      <c r="C24" s="112" t="s">
        <v>5</v>
      </c>
      <c r="D24" s="255">
        <v>28279.241999999998</v>
      </c>
      <c r="E24" s="38">
        <v>21131.99</v>
      </c>
      <c r="F24" s="38">
        <v>21132.99</v>
      </c>
      <c r="G24" s="38">
        <f>G26+G34</f>
        <v>18546.844980000002</v>
      </c>
      <c r="H24" s="167">
        <f t="shared" ref="H24" si="7">F24/D24*100</f>
        <v>74.729690420980887</v>
      </c>
      <c r="I24" s="167">
        <f t="shared" si="4"/>
        <v>87.762521914788209</v>
      </c>
    </row>
    <row r="25" spans="1:12" ht="21" customHeight="1">
      <c r="A25" s="134"/>
      <c r="B25" s="135" t="s">
        <v>32</v>
      </c>
      <c r="C25" s="46"/>
      <c r="D25" s="167"/>
      <c r="E25" s="78"/>
      <c r="F25" s="78"/>
      <c r="G25" s="78"/>
      <c r="H25" s="78"/>
      <c r="I25" s="63"/>
    </row>
    <row r="26" spans="1:12" s="115" customFormat="1" ht="25.5" customHeight="1">
      <c r="A26" s="134" t="s">
        <v>54</v>
      </c>
      <c r="B26" s="26" t="s">
        <v>3</v>
      </c>
      <c r="C26" s="141" t="s">
        <v>5</v>
      </c>
      <c r="D26" s="250">
        <f>D27+D29+D33</f>
        <v>10204.727999999999</v>
      </c>
      <c r="E26" s="145">
        <f>E27+E29+E33</f>
        <v>9600.3050000000003</v>
      </c>
      <c r="F26" s="145">
        <f>F27+F29+F33</f>
        <v>9600.3050000000003</v>
      </c>
      <c r="G26" s="145">
        <f>G27+G29+G33</f>
        <v>7432.9225000000006</v>
      </c>
      <c r="H26" s="240" t="s">
        <v>52</v>
      </c>
      <c r="I26" s="240" t="s">
        <v>52</v>
      </c>
      <c r="K26" s="242"/>
    </row>
    <row r="27" spans="1:12" s="115" customFormat="1" ht="24.95" customHeight="1">
      <c r="A27" s="134"/>
      <c r="B27" s="30" t="s">
        <v>397</v>
      </c>
      <c r="C27" s="27" t="str">
        <f>C28</f>
        <v>Tỷ đồng</v>
      </c>
      <c r="D27" s="31">
        <f>D28+641+1301.9</f>
        <v>8942.9</v>
      </c>
      <c r="E27" s="31">
        <f>E28+616.23+419.6</f>
        <v>8065.83</v>
      </c>
      <c r="F27" s="31">
        <f>F28+616.23+419.6</f>
        <v>8065.83</v>
      </c>
      <c r="G27" s="31">
        <v>5745</v>
      </c>
      <c r="H27" s="240" t="s">
        <v>52</v>
      </c>
      <c r="I27" s="240" t="s">
        <v>52</v>
      </c>
      <c r="J27" s="146"/>
      <c r="K27" s="242"/>
      <c r="L27" s="242"/>
    </row>
    <row r="28" spans="1:12" ht="24.95" customHeight="1">
      <c r="A28" s="254"/>
      <c r="B28" s="30" t="s">
        <v>558</v>
      </c>
      <c r="C28" s="27" t="s">
        <v>5</v>
      </c>
      <c r="D28" s="31">
        <v>7000</v>
      </c>
      <c r="E28" s="31">
        <v>7030</v>
      </c>
      <c r="F28" s="31">
        <v>7030</v>
      </c>
      <c r="G28" s="31">
        <v>4500</v>
      </c>
      <c r="H28" s="240" t="s">
        <v>52</v>
      </c>
      <c r="I28" s="240" t="s">
        <v>52</v>
      </c>
      <c r="J28" s="29"/>
    </row>
    <row r="29" spans="1:12" ht="24.95" customHeight="1">
      <c r="A29" s="254"/>
      <c r="B29" s="30" t="s">
        <v>559</v>
      </c>
      <c r="C29" s="27" t="s">
        <v>5</v>
      </c>
      <c r="D29" s="168">
        <f>SUM(D30:D32)</f>
        <v>1261.828</v>
      </c>
      <c r="E29" s="41">
        <f>SUM(E30:E32)</f>
        <v>1534.4749999999999</v>
      </c>
      <c r="F29" s="41">
        <f>SUM(F30:F32)</f>
        <v>1534.4749999999999</v>
      </c>
      <c r="G29" s="168">
        <f>F29*1.1</f>
        <v>1687.9225000000001</v>
      </c>
      <c r="H29" s="240" t="s">
        <v>52</v>
      </c>
      <c r="I29" s="240" t="s">
        <v>52</v>
      </c>
      <c r="K29" s="29"/>
    </row>
    <row r="30" spans="1:12" ht="18.75" customHeight="1">
      <c r="A30" s="254"/>
      <c r="B30" s="30" t="s">
        <v>179</v>
      </c>
      <c r="C30" s="27" t="s">
        <v>5</v>
      </c>
      <c r="D30" s="40">
        <v>1009.208</v>
      </c>
      <c r="E30" s="40">
        <v>1401.675</v>
      </c>
      <c r="F30" s="40">
        <v>1401.675</v>
      </c>
      <c r="G30" s="41" t="s">
        <v>52</v>
      </c>
      <c r="H30" s="240" t="s">
        <v>52</v>
      </c>
      <c r="I30" s="240" t="s">
        <v>52</v>
      </c>
    </row>
    <row r="31" spans="1:12" ht="18" customHeight="1">
      <c r="A31" s="254"/>
      <c r="B31" s="30" t="s">
        <v>180</v>
      </c>
      <c r="C31" s="27" t="s">
        <v>5</v>
      </c>
      <c r="D31" s="40">
        <v>252.62</v>
      </c>
      <c r="E31" s="40">
        <v>132.80000000000001</v>
      </c>
      <c r="F31" s="40">
        <v>132.80000000000001</v>
      </c>
      <c r="G31" s="41" t="s">
        <v>52</v>
      </c>
      <c r="H31" s="240" t="s">
        <v>52</v>
      </c>
      <c r="I31" s="240" t="s">
        <v>52</v>
      </c>
    </row>
    <row r="32" spans="1:12" ht="20.25" customHeight="1">
      <c r="A32" s="254"/>
      <c r="B32" s="30" t="s">
        <v>181</v>
      </c>
      <c r="C32" s="27" t="s">
        <v>5</v>
      </c>
      <c r="D32" s="31"/>
      <c r="E32" s="31"/>
      <c r="F32" s="31"/>
      <c r="G32" s="249"/>
      <c r="H32" s="240"/>
      <c r="I32" s="240"/>
    </row>
    <row r="33" spans="1:9" ht="19.5" customHeight="1">
      <c r="A33" s="254"/>
      <c r="B33" s="30" t="s">
        <v>398</v>
      </c>
      <c r="C33" s="27" t="s">
        <v>5</v>
      </c>
      <c r="D33" s="31"/>
      <c r="E33" s="31"/>
      <c r="F33" s="31"/>
      <c r="G33" s="249"/>
      <c r="H33" s="240"/>
      <c r="I33" s="240"/>
    </row>
    <row r="34" spans="1:9" ht="24.95" customHeight="1">
      <c r="A34" s="134" t="s">
        <v>55</v>
      </c>
      <c r="B34" s="26" t="s">
        <v>4</v>
      </c>
      <c r="C34" s="141" t="s">
        <v>5</v>
      </c>
      <c r="D34" s="250">
        <v>12058.474</v>
      </c>
      <c r="E34" s="249">
        <v>10790.216</v>
      </c>
      <c r="F34" s="249">
        <v>10790.216</v>
      </c>
      <c r="G34" s="249">
        <f>F34*1.03</f>
        <v>11113.922480000001</v>
      </c>
      <c r="H34" s="240" t="s">
        <v>52</v>
      </c>
      <c r="I34" s="240" t="s">
        <v>52</v>
      </c>
    </row>
    <row r="35" spans="1:9" s="115" customFormat="1" ht="17.25" customHeight="1">
      <c r="A35" s="45"/>
      <c r="B35" s="135" t="s">
        <v>32</v>
      </c>
      <c r="C35" s="27"/>
      <c r="D35" s="31"/>
      <c r="E35" s="244"/>
      <c r="F35" s="244"/>
      <c r="G35" s="249"/>
      <c r="H35" s="240"/>
      <c r="I35" s="240"/>
    </row>
    <row r="36" spans="1:9" ht="24.95" customHeight="1">
      <c r="A36" s="45"/>
      <c r="B36" s="30" t="s">
        <v>399</v>
      </c>
      <c r="C36" s="27" t="s">
        <v>5</v>
      </c>
      <c r="D36" s="40">
        <v>4632.549</v>
      </c>
      <c r="E36" s="168">
        <v>4810.2709999999997</v>
      </c>
      <c r="F36" s="168">
        <v>4810.2709999999997</v>
      </c>
      <c r="G36" s="249" t="s">
        <v>52</v>
      </c>
      <c r="H36" s="240" t="s">
        <v>52</v>
      </c>
      <c r="I36" s="240" t="s">
        <v>52</v>
      </c>
    </row>
    <row r="37" spans="1:9" ht="24.95" customHeight="1">
      <c r="A37" s="45"/>
      <c r="B37" s="30" t="s">
        <v>400</v>
      </c>
      <c r="C37" s="27" t="s">
        <v>5</v>
      </c>
      <c r="D37" s="40">
        <v>2377.6860000000001</v>
      </c>
      <c r="E37" s="168">
        <v>1266.4880000000001</v>
      </c>
      <c r="F37" s="168">
        <v>1266.4880000000001</v>
      </c>
      <c r="G37" s="249" t="s">
        <v>52</v>
      </c>
      <c r="H37" s="240" t="s">
        <v>52</v>
      </c>
      <c r="I37" s="240" t="s">
        <v>52</v>
      </c>
    </row>
    <row r="38" spans="1:9" ht="24.95" customHeight="1">
      <c r="A38" s="45"/>
      <c r="B38" s="30" t="s">
        <v>401</v>
      </c>
      <c r="C38" s="27" t="s">
        <v>5</v>
      </c>
      <c r="D38" s="40">
        <v>1889.55</v>
      </c>
      <c r="E38" s="168">
        <v>1748.5060000000001</v>
      </c>
      <c r="F38" s="168">
        <v>1748.5060000000001</v>
      </c>
      <c r="G38" s="249" t="s">
        <v>52</v>
      </c>
      <c r="H38" s="240" t="s">
        <v>52</v>
      </c>
      <c r="I38" s="240" t="s">
        <v>52</v>
      </c>
    </row>
    <row r="39" spans="1:9" ht="24.95" customHeight="1">
      <c r="A39" s="45"/>
      <c r="B39" s="30" t="s">
        <v>402</v>
      </c>
      <c r="C39" s="27" t="s">
        <v>5</v>
      </c>
      <c r="D39" s="40">
        <v>51.02</v>
      </c>
      <c r="E39" s="168">
        <v>32.453000000000003</v>
      </c>
      <c r="F39" s="168">
        <v>32.453000000000003</v>
      </c>
      <c r="G39" s="249" t="s">
        <v>52</v>
      </c>
      <c r="H39" s="240" t="s">
        <v>52</v>
      </c>
      <c r="I39" s="240" t="s">
        <v>52</v>
      </c>
    </row>
    <row r="40" spans="1:9" s="44" customFormat="1" ht="24.95" customHeight="1">
      <c r="A40" s="254">
        <v>3</v>
      </c>
      <c r="B40" s="136" t="s">
        <v>437</v>
      </c>
      <c r="C40" s="112" t="s">
        <v>35</v>
      </c>
      <c r="D40" s="137">
        <f>D7/'Bieu 3'!D7*100</f>
        <v>16.844259967276511</v>
      </c>
      <c r="E40" s="137">
        <f>E7/'Bieu 3'!E7*100</f>
        <v>9.3819521655637352</v>
      </c>
      <c r="F40" s="137">
        <f>F7/'Bieu 3'!F7*100</f>
        <v>9.5607999278240374</v>
      </c>
      <c r="G40" s="137">
        <f>G7/'Bieu 3'!G7*100</f>
        <v>7.0637497340227187</v>
      </c>
      <c r="H40" s="240" t="s">
        <v>52</v>
      </c>
      <c r="I40" s="240" t="s">
        <v>52</v>
      </c>
    </row>
    <row r="41" spans="1:9" s="44" customFormat="1" ht="28.5" customHeight="1">
      <c r="A41" s="196" t="s">
        <v>53</v>
      </c>
      <c r="B41" s="201" t="s">
        <v>436</v>
      </c>
      <c r="C41" s="202"/>
      <c r="D41" s="211"/>
      <c r="E41" s="210"/>
      <c r="F41" s="211"/>
      <c r="G41" s="210"/>
      <c r="H41" s="175"/>
      <c r="I41" s="175"/>
    </row>
    <row r="42" spans="1:9" ht="24.95" customHeight="1">
      <c r="A42" s="42">
        <v>1</v>
      </c>
      <c r="B42" s="30" t="s">
        <v>173</v>
      </c>
      <c r="C42" s="27" t="s">
        <v>452</v>
      </c>
      <c r="D42" s="70">
        <v>15868.376</v>
      </c>
      <c r="E42" s="39">
        <v>19200</v>
      </c>
      <c r="F42" s="84">
        <f>E42</f>
        <v>19200</v>
      </c>
      <c r="G42" s="39">
        <f>F42*1.2</f>
        <v>23040</v>
      </c>
      <c r="H42" s="102">
        <f t="shared" ref="H42" si="8">F42/D42*100</f>
        <v>120.99536839812718</v>
      </c>
      <c r="I42" s="102">
        <f t="shared" ref="I42" si="9">G42/F42*100</f>
        <v>120</v>
      </c>
    </row>
    <row r="43" spans="1:9" ht="24.95" customHeight="1">
      <c r="A43" s="42">
        <v>2</v>
      </c>
      <c r="B43" s="30" t="s">
        <v>174</v>
      </c>
      <c r="C43" s="27" t="s">
        <v>452</v>
      </c>
      <c r="D43" s="70">
        <v>15284.48</v>
      </c>
      <c r="E43" s="39">
        <v>18500</v>
      </c>
      <c r="F43" s="84">
        <f>E43</f>
        <v>18500</v>
      </c>
      <c r="G43" s="39">
        <f>F43*1.195</f>
        <v>22107.5</v>
      </c>
      <c r="H43" s="102">
        <f t="shared" ref="H43" si="10">F43/D43*100</f>
        <v>121.03781090360941</v>
      </c>
      <c r="I43" s="102">
        <f t="shared" ref="I43" si="11">G43/F43*100</f>
        <v>119.5</v>
      </c>
    </row>
    <row r="44" spans="1:9" ht="24.95" customHeight="1">
      <c r="A44" s="42">
        <v>3</v>
      </c>
      <c r="B44" s="30" t="s">
        <v>438</v>
      </c>
      <c r="C44" s="27" t="s">
        <v>35</v>
      </c>
      <c r="D44" s="66">
        <f t="shared" ref="D44:G44" si="12">D42/D43*100</f>
        <v>103.82018884515536</v>
      </c>
      <c r="E44" s="66">
        <f t="shared" si="12"/>
        <v>103.78378378378379</v>
      </c>
      <c r="F44" s="66">
        <f t="shared" si="12"/>
        <v>103.78378378378379</v>
      </c>
      <c r="G44" s="66">
        <f t="shared" si="12"/>
        <v>104.21802555693769</v>
      </c>
      <c r="H44" s="113" t="s">
        <v>52</v>
      </c>
      <c r="I44" s="113" t="s">
        <v>52</v>
      </c>
    </row>
    <row r="45" spans="1:9" s="44" customFormat="1" ht="24" customHeight="1">
      <c r="A45" s="196" t="s">
        <v>57</v>
      </c>
      <c r="B45" s="201" t="s">
        <v>439</v>
      </c>
      <c r="C45" s="202"/>
      <c r="D45" s="211"/>
      <c r="E45" s="210"/>
      <c r="F45" s="211"/>
      <c r="G45" s="210"/>
      <c r="H45" s="175"/>
      <c r="I45" s="175"/>
    </row>
    <row r="46" spans="1:9" ht="24.95" customHeight="1">
      <c r="A46" s="45"/>
      <c r="B46" s="56" t="s">
        <v>319</v>
      </c>
      <c r="C46" s="55" t="s">
        <v>290</v>
      </c>
      <c r="D46" s="84">
        <v>1950</v>
      </c>
      <c r="E46" s="39">
        <v>2170</v>
      </c>
      <c r="F46" s="84">
        <f>E46</f>
        <v>2170</v>
      </c>
      <c r="G46" s="39">
        <f>F46*1.12</f>
        <v>2430.4</v>
      </c>
      <c r="H46" s="102">
        <f t="shared" ref="H46:H47" si="13">F46/D46*100</f>
        <v>111.28205128205128</v>
      </c>
      <c r="I46" s="102">
        <f t="shared" ref="I46:I47" si="14">G46/F46*100</f>
        <v>112.00000000000001</v>
      </c>
    </row>
    <row r="47" spans="1:9" ht="24.95" customHeight="1">
      <c r="A47" s="45"/>
      <c r="B47" s="56" t="s">
        <v>320</v>
      </c>
      <c r="C47" s="55" t="s">
        <v>290</v>
      </c>
      <c r="D47" s="84">
        <v>5600</v>
      </c>
      <c r="E47" s="39">
        <v>6520</v>
      </c>
      <c r="F47" s="84">
        <f>E47</f>
        <v>6520</v>
      </c>
      <c r="G47" s="39">
        <f>F47*1.165</f>
        <v>7595.8</v>
      </c>
      <c r="H47" s="102">
        <f t="shared" si="13"/>
        <v>116.42857142857143</v>
      </c>
      <c r="I47" s="102">
        <f t="shared" si="14"/>
        <v>116.5</v>
      </c>
    </row>
    <row r="48" spans="1:9">
      <c r="A48" s="61"/>
      <c r="B48" s="121"/>
    </row>
  </sheetData>
  <sheetProtection formatCells="0" formatColumns="0" formatRows="0" insertColumns="0" insertRows="0" insertHyperlinks="0" deleteColumns="0" deleteRows="0" sort="0" autoFilter="0" pivotTables="0"/>
  <mergeCells count="9">
    <mergeCell ref="A1:I1"/>
    <mergeCell ref="A2:I2"/>
    <mergeCell ref="A4:A5"/>
    <mergeCell ref="B4:B5"/>
    <mergeCell ref="C4:C5"/>
    <mergeCell ref="D4:D5"/>
    <mergeCell ref="E4:F4"/>
    <mergeCell ref="G4:G5"/>
    <mergeCell ref="H4:I4"/>
  </mergeCells>
  <printOptions horizontalCentered="1"/>
  <pageMargins left="0.43307086614173229" right="0.43307086614173229" top="0.6" bottom="0.5" header="0.35433070866141736" footer="0.27559055118110237"/>
  <pageSetup paperSize="9" scale="85" orientation="landscape" r:id="rId1"/>
  <headerFooter differentFirst="1" alignWithMargins="0">
    <oddFooter>&amp;C&amp;N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6" zoomScale="70" zoomScaleNormal="70" zoomScaleSheetLayoutView="70" workbookViewId="0">
      <selection activeCell="J31" sqref="J31:L41"/>
    </sheetView>
  </sheetViews>
  <sheetFormatPr defaultColWidth="9.140625" defaultRowHeight="18.75"/>
  <cols>
    <col min="1" max="1" width="4.85546875" style="588" customWidth="1"/>
    <col min="2" max="2" width="60.7109375" style="133" customWidth="1"/>
    <col min="3" max="3" width="16.140625" style="61" customWidth="1"/>
    <col min="4" max="5" width="12.7109375" style="61" customWidth="1"/>
    <col min="6" max="6" width="14" style="61" customWidth="1"/>
    <col min="7" max="7" width="12.7109375" style="61" customWidth="1"/>
    <col min="8" max="9" width="12.7109375" style="23" customWidth="1"/>
    <col min="10" max="10" width="10.28515625" style="23" customWidth="1"/>
    <col min="11" max="11" width="10.7109375" style="23" customWidth="1"/>
    <col min="12" max="12" width="10.28515625" style="23" customWidth="1"/>
    <col min="13" max="14" width="10" style="23" customWidth="1"/>
    <col min="15" max="15" width="10.140625" style="23" customWidth="1"/>
    <col min="16" max="16" width="9.7109375" style="23" customWidth="1"/>
    <col min="17" max="16384" width="9.140625" style="23"/>
  </cols>
  <sheetData>
    <row r="1" spans="1:12" ht="24.95" customHeight="1">
      <c r="A1" s="601" t="s">
        <v>223</v>
      </c>
      <c r="B1" s="601"/>
      <c r="C1" s="601"/>
      <c r="D1" s="601"/>
      <c r="E1" s="601"/>
      <c r="F1" s="601"/>
      <c r="G1" s="601"/>
      <c r="H1" s="601"/>
      <c r="I1" s="601"/>
    </row>
    <row r="2" spans="1:12" ht="24.95" customHeight="1">
      <c r="A2" s="604" t="s">
        <v>440</v>
      </c>
      <c r="B2" s="604"/>
      <c r="C2" s="604"/>
      <c r="D2" s="604"/>
      <c r="E2" s="604"/>
      <c r="F2" s="604"/>
      <c r="G2" s="604"/>
      <c r="H2" s="604"/>
      <c r="I2" s="604"/>
    </row>
    <row r="3" spans="1:12" ht="24.95" customHeight="1"/>
    <row r="4" spans="1:12" ht="25.5" customHeight="1">
      <c r="A4" s="605" t="s">
        <v>37</v>
      </c>
      <c r="B4" s="606" t="s">
        <v>31</v>
      </c>
      <c r="C4" s="606" t="s">
        <v>34</v>
      </c>
      <c r="D4" s="607" t="s">
        <v>572</v>
      </c>
      <c r="E4" s="607" t="s">
        <v>573</v>
      </c>
      <c r="F4" s="607"/>
      <c r="G4" s="607" t="s">
        <v>574</v>
      </c>
      <c r="H4" s="602" t="s">
        <v>30</v>
      </c>
      <c r="I4" s="603"/>
    </row>
    <row r="5" spans="1:12" ht="41.25" customHeight="1">
      <c r="A5" s="605"/>
      <c r="B5" s="607"/>
      <c r="C5" s="605"/>
      <c r="D5" s="607"/>
      <c r="E5" s="24" t="s">
        <v>33</v>
      </c>
      <c r="F5" s="24" t="s">
        <v>407</v>
      </c>
      <c r="G5" s="607"/>
      <c r="H5" s="148" t="s">
        <v>575</v>
      </c>
      <c r="I5" s="148" t="s">
        <v>576</v>
      </c>
    </row>
    <row r="6" spans="1:12" ht="24.95" customHeight="1">
      <c r="A6" s="196" t="s">
        <v>38</v>
      </c>
      <c r="B6" s="197" t="s">
        <v>441</v>
      </c>
      <c r="C6" s="196"/>
      <c r="D6" s="198"/>
      <c r="E6" s="199"/>
      <c r="F6" s="199"/>
      <c r="G6" s="198"/>
      <c r="H6" s="200"/>
      <c r="I6" s="200"/>
      <c r="J6" s="153"/>
    </row>
    <row r="7" spans="1:12" s="44" customFormat="1" ht="24.95" customHeight="1">
      <c r="A7" s="208">
        <v>1</v>
      </c>
      <c r="B7" s="136" t="s">
        <v>434</v>
      </c>
      <c r="C7" s="589" t="s">
        <v>5</v>
      </c>
      <c r="D7" s="38">
        <f>D8+D9+D12+D13</f>
        <v>129934.07014</v>
      </c>
      <c r="E7" s="38">
        <f t="shared" ref="E7:G7" si="0">E8+E9+E12+E13</f>
        <v>151887.36574787</v>
      </c>
      <c r="F7" s="38">
        <f t="shared" si="0"/>
        <v>152999.75013000003</v>
      </c>
      <c r="G7" s="38">
        <f t="shared" si="0"/>
        <v>178743.59193654003</v>
      </c>
      <c r="H7" s="237" t="s">
        <v>52</v>
      </c>
      <c r="I7" s="238" t="s">
        <v>52</v>
      </c>
    </row>
    <row r="8" spans="1:12" s="44" customFormat="1" ht="24.95" customHeight="1">
      <c r="A8" s="589"/>
      <c r="B8" s="30" t="s">
        <v>390</v>
      </c>
      <c r="C8" s="85" t="str">
        <f>C7</f>
        <v>Tỷ đồng</v>
      </c>
      <c r="D8" s="28">
        <v>22630.000640000002</v>
      </c>
      <c r="E8" s="39">
        <v>23986.895046200003</v>
      </c>
      <c r="F8" s="28">
        <v>22229.854030000002</v>
      </c>
      <c r="G8" s="39">
        <v>23563.645271800004</v>
      </c>
      <c r="H8" s="237" t="s">
        <v>52</v>
      </c>
      <c r="I8" s="238" t="s">
        <v>52</v>
      </c>
      <c r="J8" s="139"/>
    </row>
    <row r="9" spans="1:12" s="44" customFormat="1" ht="24.95" customHeight="1">
      <c r="A9" s="589"/>
      <c r="B9" s="30" t="s">
        <v>387</v>
      </c>
      <c r="C9" s="85" t="str">
        <f>C8</f>
        <v>Tỷ đồng</v>
      </c>
      <c r="D9" s="28">
        <v>75133.653999999995</v>
      </c>
      <c r="E9" s="39">
        <v>92047.738120670008</v>
      </c>
      <c r="F9" s="28">
        <v>95943.076150000008</v>
      </c>
      <c r="G9" s="39">
        <v>116015.54939099001</v>
      </c>
      <c r="H9" s="237" t="s">
        <v>52</v>
      </c>
      <c r="I9" s="238" t="s">
        <v>52</v>
      </c>
      <c r="J9" s="139"/>
    </row>
    <row r="10" spans="1:12" s="44" customFormat="1" ht="24.95" customHeight="1">
      <c r="A10" s="589"/>
      <c r="B10" s="30" t="s">
        <v>478</v>
      </c>
      <c r="C10" s="85" t="str">
        <f t="shared" ref="C10:C11" si="1">C9</f>
        <v>Tỷ đồng</v>
      </c>
      <c r="D10" s="28">
        <v>63184.218270000005</v>
      </c>
      <c r="E10" s="39">
        <v>78078.847752300004</v>
      </c>
      <c r="F10" s="28">
        <v>82444.782879999999</v>
      </c>
      <c r="G10" s="39">
        <v>100829.96946224</v>
      </c>
      <c r="H10" s="237" t="s">
        <v>52</v>
      </c>
      <c r="I10" s="238" t="s">
        <v>52</v>
      </c>
      <c r="J10" s="139"/>
    </row>
    <row r="11" spans="1:12" s="44" customFormat="1" ht="24.95" customHeight="1">
      <c r="A11" s="589"/>
      <c r="B11" s="30" t="s">
        <v>479</v>
      </c>
      <c r="C11" s="85" t="str">
        <f t="shared" si="1"/>
        <v>Tỷ đồng</v>
      </c>
      <c r="D11" s="28">
        <v>11949.43572999999</v>
      </c>
      <c r="E11" s="39">
        <v>13968.890368370001</v>
      </c>
      <c r="F11" s="28">
        <v>13498.293270000009</v>
      </c>
      <c r="G11" s="39">
        <v>15185.579928750012</v>
      </c>
      <c r="H11" s="237" t="s">
        <v>52</v>
      </c>
      <c r="I11" s="238" t="s">
        <v>52</v>
      </c>
      <c r="J11" s="139"/>
    </row>
    <row r="12" spans="1:12" s="44" customFormat="1" ht="24.95" customHeight="1">
      <c r="A12" s="589"/>
      <c r="B12" s="30" t="s">
        <v>388</v>
      </c>
      <c r="C12" s="85" t="str">
        <f>C9</f>
        <v>Tỷ đồng</v>
      </c>
      <c r="D12" s="28">
        <v>29267.410500000002</v>
      </c>
      <c r="E12" s="39">
        <v>32508.863685</v>
      </c>
      <c r="F12" s="28">
        <v>31671.785949999998</v>
      </c>
      <c r="G12" s="39">
        <v>35630.759193749996</v>
      </c>
      <c r="H12" s="237" t="s">
        <v>52</v>
      </c>
      <c r="I12" s="238" t="s">
        <v>52</v>
      </c>
      <c r="J12" s="139"/>
    </row>
    <row r="13" spans="1:12" s="48" customFormat="1" ht="24.95" customHeight="1">
      <c r="A13" s="45"/>
      <c r="B13" s="127" t="s">
        <v>389</v>
      </c>
      <c r="C13" s="46" t="str">
        <f>C12</f>
        <v>Tỷ đồng</v>
      </c>
      <c r="D13" s="28">
        <v>2903.0050000000001</v>
      </c>
      <c r="E13" s="39">
        <v>3343.8688960000004</v>
      </c>
      <c r="F13" s="28">
        <v>3155.0340000000001</v>
      </c>
      <c r="G13" s="39">
        <v>3533.6380800000002</v>
      </c>
      <c r="H13" s="237" t="s">
        <v>52</v>
      </c>
      <c r="I13" s="238" t="s">
        <v>52</v>
      </c>
      <c r="J13" s="47"/>
    </row>
    <row r="14" spans="1:12" s="44" customFormat="1" ht="24.95" customHeight="1">
      <c r="A14" s="589">
        <v>2</v>
      </c>
      <c r="B14" s="136" t="s">
        <v>79</v>
      </c>
      <c r="C14" s="112" t="s">
        <v>175</v>
      </c>
      <c r="D14" s="38">
        <v>2949.8770421054637</v>
      </c>
      <c r="E14" s="38">
        <v>3299.9264732577271</v>
      </c>
      <c r="F14" s="38">
        <v>3320</v>
      </c>
      <c r="G14" s="38">
        <v>3800.2844052308606</v>
      </c>
      <c r="H14" s="138" t="s">
        <v>52</v>
      </c>
      <c r="I14" s="138" t="s">
        <v>52</v>
      </c>
      <c r="J14" s="139"/>
      <c r="K14" s="139"/>
    </row>
    <row r="15" spans="1:12" s="44" customFormat="1" ht="24.95" customHeight="1">
      <c r="A15" s="589">
        <v>3</v>
      </c>
      <c r="B15" s="136" t="s">
        <v>442</v>
      </c>
      <c r="C15" s="590" t="s">
        <v>35</v>
      </c>
      <c r="D15" s="38">
        <f t="shared" ref="D15:E15" si="2">D16+D17+D20+D21</f>
        <v>100</v>
      </c>
      <c r="E15" s="38">
        <f t="shared" si="2"/>
        <v>100.00000000000001</v>
      </c>
      <c r="F15" s="38">
        <f t="shared" ref="F15:G15" si="3">F16+F17+F20+F21</f>
        <v>100</v>
      </c>
      <c r="G15" s="38">
        <f t="shared" si="3"/>
        <v>99.999999999999986</v>
      </c>
      <c r="H15" s="138" t="s">
        <v>52</v>
      </c>
      <c r="I15" s="138" t="s">
        <v>52</v>
      </c>
      <c r="J15" s="139"/>
    </row>
    <row r="16" spans="1:12" s="44" customFormat="1" ht="24.95" customHeight="1">
      <c r="A16" s="589"/>
      <c r="B16" s="30" t="s">
        <v>390</v>
      </c>
      <c r="C16" s="85" t="s">
        <v>35</v>
      </c>
      <c r="D16" s="66">
        <f t="shared" ref="D16:E16" si="4">D8/D7*100</f>
        <v>17.416525639208306</v>
      </c>
      <c r="E16" s="66">
        <f t="shared" si="4"/>
        <v>15.792554520971658</v>
      </c>
      <c r="F16" s="66">
        <f>F8/F7*100</f>
        <v>14.52934008788371</v>
      </c>
      <c r="G16" s="66">
        <f>G8/G7*100</f>
        <v>13.18293149226065</v>
      </c>
      <c r="H16" s="138" t="s">
        <v>52</v>
      </c>
      <c r="I16" s="138" t="s">
        <v>52</v>
      </c>
      <c r="J16" s="248"/>
      <c r="K16" s="248"/>
      <c r="L16" s="248"/>
    </row>
    <row r="17" spans="1:14" s="44" customFormat="1" ht="24.95" customHeight="1">
      <c r="A17" s="589"/>
      <c r="B17" s="30" t="s">
        <v>387</v>
      </c>
      <c r="C17" s="85" t="s">
        <v>35</v>
      </c>
      <c r="D17" s="66">
        <f t="shared" ref="D17:E17" si="5">D9/D7*100</f>
        <v>57.824444288588651</v>
      </c>
      <c r="E17" s="66">
        <f t="shared" si="5"/>
        <v>60.602629894488672</v>
      </c>
      <c r="F17" s="66">
        <f t="shared" ref="F17:G17" si="6">F9/F7*100</f>
        <v>62.707995319260057</v>
      </c>
      <c r="G17" s="66">
        <f t="shared" si="6"/>
        <v>64.906130694844393</v>
      </c>
      <c r="H17" s="138" t="s">
        <v>52</v>
      </c>
      <c r="I17" s="138" t="s">
        <v>52</v>
      </c>
      <c r="J17" s="248"/>
      <c r="K17" s="248"/>
      <c r="L17" s="248"/>
    </row>
    <row r="18" spans="1:14" s="44" customFormat="1" ht="24.95" customHeight="1">
      <c r="A18" s="589"/>
      <c r="B18" s="30" t="s">
        <v>478</v>
      </c>
      <c r="C18" s="85" t="str">
        <f t="shared" ref="C18:C19" si="7">C17</f>
        <v>%</v>
      </c>
      <c r="D18" s="66">
        <f t="shared" ref="D18:E18" si="8">D10/D7*100</f>
        <v>48.627906600571301</v>
      </c>
      <c r="E18" s="66">
        <f t="shared" si="8"/>
        <v>51.405755421362251</v>
      </c>
      <c r="F18" s="66">
        <f t="shared" ref="F18:G18" si="9">F10/F7*100</f>
        <v>53.885567009062918</v>
      </c>
      <c r="G18" s="66">
        <f t="shared" si="9"/>
        <v>56.410396797910387</v>
      </c>
      <c r="H18" s="138" t="s">
        <v>52</v>
      </c>
      <c r="I18" s="138" t="s">
        <v>52</v>
      </c>
      <c r="J18" s="248"/>
      <c r="K18" s="248"/>
      <c r="L18" s="248"/>
    </row>
    <row r="19" spans="1:14" s="44" customFormat="1" ht="24.95" customHeight="1">
      <c r="A19" s="589"/>
      <c r="B19" s="30" t="s">
        <v>479</v>
      </c>
      <c r="C19" s="85" t="str">
        <f t="shared" si="7"/>
        <v>%</v>
      </c>
      <c r="D19" s="66">
        <f t="shared" ref="D19:E19" si="10">D11/D7*100</f>
        <v>9.1965376880173455</v>
      </c>
      <c r="E19" s="66">
        <f t="shared" si="10"/>
        <v>9.1968744731264085</v>
      </c>
      <c r="F19" s="66">
        <f t="shared" ref="F19:G19" si="11">F11/F7*100</f>
        <v>8.8224283101971412</v>
      </c>
      <c r="G19" s="66">
        <f t="shared" si="11"/>
        <v>8.4957338969339968</v>
      </c>
      <c r="H19" s="138" t="s">
        <v>52</v>
      </c>
      <c r="I19" s="138" t="s">
        <v>52</v>
      </c>
      <c r="J19" s="248"/>
    </row>
    <row r="20" spans="1:14" s="44" customFormat="1" ht="24.95" customHeight="1">
      <c r="A20" s="589"/>
      <c r="B20" s="30" t="s">
        <v>388</v>
      </c>
      <c r="C20" s="85" t="s">
        <v>35</v>
      </c>
      <c r="D20" s="66">
        <f t="shared" ref="D20:E20" si="12">D12/D7*100</f>
        <v>22.524816215227659</v>
      </c>
      <c r="E20" s="66">
        <f t="shared" si="12"/>
        <v>21.403270459614177</v>
      </c>
      <c r="F20" s="66">
        <f t="shared" ref="F20:G20" si="13">F12/F7*100</f>
        <v>20.700547499645772</v>
      </c>
      <c r="G20" s="66">
        <f t="shared" si="13"/>
        <v>19.934006476942741</v>
      </c>
      <c r="H20" s="138" t="s">
        <v>52</v>
      </c>
      <c r="I20" s="138" t="s">
        <v>52</v>
      </c>
      <c r="J20" s="248"/>
      <c r="K20" s="248"/>
      <c r="L20" s="248"/>
    </row>
    <row r="21" spans="1:14" s="48" customFormat="1" ht="24.95" customHeight="1">
      <c r="A21" s="45"/>
      <c r="B21" s="127" t="s">
        <v>389</v>
      </c>
      <c r="C21" s="46" t="s">
        <v>35</v>
      </c>
      <c r="D21" s="66">
        <f t="shared" ref="D21:E21" si="14">D13/D7*100</f>
        <v>2.234213856975388</v>
      </c>
      <c r="E21" s="66">
        <f t="shared" si="14"/>
        <v>2.2015451249255031</v>
      </c>
      <c r="F21" s="66">
        <f t="shared" ref="F21:G21" si="15">F13/F7*100</f>
        <v>2.0621170932104449</v>
      </c>
      <c r="G21" s="66">
        <f t="shared" si="15"/>
        <v>1.9769313359522058</v>
      </c>
      <c r="H21" s="138" t="s">
        <v>52</v>
      </c>
      <c r="I21" s="138" t="s">
        <v>52</v>
      </c>
      <c r="J21" s="47"/>
    </row>
    <row r="22" spans="1:14" s="44" customFormat="1" ht="37.5">
      <c r="A22" s="589">
        <v>4</v>
      </c>
      <c r="B22" s="136" t="s">
        <v>409</v>
      </c>
      <c r="C22" s="590" t="s">
        <v>410</v>
      </c>
      <c r="D22" s="137">
        <f>D7/'Bieu 6'!D20</f>
        <v>135.33389244870327</v>
      </c>
      <c r="E22" s="137">
        <f>E7/'Bieu 6'!E20</f>
        <v>153.73215156667004</v>
      </c>
      <c r="F22" s="137">
        <f>F7/'Bieu 6'!F20</f>
        <v>154.85679278912724</v>
      </c>
      <c r="G22" s="137">
        <f>G7/'Bieu 6'!G20</f>
        <v>176.88628593423061</v>
      </c>
      <c r="H22" s="138" t="s">
        <v>52</v>
      </c>
      <c r="I22" s="138" t="s">
        <v>52</v>
      </c>
      <c r="J22" s="139"/>
    </row>
    <row r="23" spans="1:14" ht="37.5">
      <c r="A23" s="42"/>
      <c r="B23" s="30" t="s">
        <v>390</v>
      </c>
      <c r="C23" s="85" t="s">
        <v>410</v>
      </c>
      <c r="D23" s="66">
        <f>D8/'Bieu 6'!D21</f>
        <v>77.526552380952396</v>
      </c>
      <c r="E23" s="66">
        <f>E8/'Bieu 6'!E21</f>
        <v>83.432678421565228</v>
      </c>
      <c r="F23" s="66">
        <f>F8/'Bieu 6'!F21</f>
        <v>77.319079921254371</v>
      </c>
      <c r="G23" s="66">
        <f>G8/'Bieu 6'!G21</f>
        <v>92.515293568119375</v>
      </c>
      <c r="H23" s="138" t="s">
        <v>52</v>
      </c>
      <c r="I23" s="138" t="s">
        <v>52</v>
      </c>
      <c r="J23" s="29"/>
    </row>
    <row r="24" spans="1:14" ht="37.5">
      <c r="A24" s="42"/>
      <c r="B24" s="30" t="s">
        <v>387</v>
      </c>
      <c r="C24" s="85" t="s">
        <v>410</v>
      </c>
      <c r="D24" s="66">
        <f>D9/'Bieu 6'!D22</f>
        <v>192.30523163552598</v>
      </c>
      <c r="E24" s="66">
        <f>E9/'Bieu 6'!E22</f>
        <v>222.33753169243963</v>
      </c>
      <c r="F24" s="66">
        <f>F9/'Bieu 6'!F22</f>
        <v>231.74656074879229</v>
      </c>
      <c r="G24" s="66">
        <f>G9/'Bieu 6'!G22</f>
        <v>259.77507700624722</v>
      </c>
      <c r="H24" s="138" t="s">
        <v>52</v>
      </c>
      <c r="I24" s="138" t="s">
        <v>52</v>
      </c>
      <c r="J24" s="29"/>
    </row>
    <row r="25" spans="1:14" ht="46.5" customHeight="1">
      <c r="A25" s="42"/>
      <c r="B25" s="30" t="s">
        <v>388</v>
      </c>
      <c r="C25" s="85" t="s">
        <v>410</v>
      </c>
      <c r="D25" s="66">
        <f>D10/'Bieu 6'!D23</f>
        <v>227.69087664864867</v>
      </c>
      <c r="E25" s="66">
        <f>E10/'Bieu 6'!E23</f>
        <v>272.52651920523562</v>
      </c>
      <c r="F25" s="66">
        <f>F10/'Bieu 6'!F23</f>
        <v>287.7653852705061</v>
      </c>
      <c r="G25" s="66">
        <f>G10/'Bieu 6'!G23</f>
        <v>326.0995131379043</v>
      </c>
      <c r="H25" s="138" t="s">
        <v>52</v>
      </c>
      <c r="I25" s="138" t="s">
        <v>52</v>
      </c>
      <c r="J25" s="29"/>
    </row>
    <row r="26" spans="1:14" ht="24.95" customHeight="1">
      <c r="A26" s="196" t="s">
        <v>53</v>
      </c>
      <c r="B26" s="197" t="s">
        <v>443</v>
      </c>
      <c r="C26" s="196"/>
      <c r="D26" s="199"/>
      <c r="E26" s="198"/>
      <c r="F26" s="199"/>
      <c r="G26" s="198"/>
      <c r="H26" s="200"/>
      <c r="I26" s="200"/>
    </row>
    <row r="27" spans="1:14" s="44" customFormat="1" ht="24.95" customHeight="1">
      <c r="A27" s="208">
        <v>1</v>
      </c>
      <c r="B27" s="136" t="s">
        <v>434</v>
      </c>
      <c r="C27" s="589" t="s">
        <v>5</v>
      </c>
      <c r="D27" s="38">
        <f>D28+D29+D32+D33</f>
        <v>86703.587409999993</v>
      </c>
      <c r="E27" s="38">
        <f t="shared" ref="E27:G27" si="16">E28+E29+E32+E33</f>
        <v>98553.302439399995</v>
      </c>
      <c r="F27" s="38">
        <f t="shared" si="16"/>
        <v>101840.89842</v>
      </c>
      <c r="G27" s="38">
        <f t="shared" si="16"/>
        <v>117113.02695646998</v>
      </c>
      <c r="H27" s="167">
        <f t="shared" ref="H27:H33" si="17">F27/D27*100</f>
        <v>117.45869053655113</v>
      </c>
      <c r="I27" s="167">
        <f t="shared" ref="I27:I33" si="18">G27/F27*100</f>
        <v>114.99606619089957</v>
      </c>
      <c r="J27" s="239"/>
      <c r="K27" s="239"/>
      <c r="L27" s="239"/>
      <c r="M27" s="139"/>
    </row>
    <row r="28" spans="1:14" s="44" customFormat="1" ht="24.95" customHeight="1">
      <c r="A28" s="589"/>
      <c r="B28" s="30" t="s">
        <v>390</v>
      </c>
      <c r="C28" s="85" t="str">
        <f>C27</f>
        <v>Tỷ đồng</v>
      </c>
      <c r="D28" s="28">
        <v>12045.080820000001</v>
      </c>
      <c r="E28" s="39">
        <v>12161.298031400001</v>
      </c>
      <c r="F28" s="28">
        <v>12274.873949999999</v>
      </c>
      <c r="G28" s="39">
        <v>12520.371428999999</v>
      </c>
      <c r="H28" s="102">
        <f t="shared" si="17"/>
        <v>101.9077757420975</v>
      </c>
      <c r="I28" s="102">
        <f t="shared" si="18"/>
        <v>102</v>
      </c>
      <c r="J28" s="239"/>
      <c r="K28" s="239"/>
      <c r="L28" s="239"/>
      <c r="M28" s="139"/>
      <c r="N28" s="247"/>
    </row>
    <row r="29" spans="1:14" s="44" customFormat="1" ht="24.95" customHeight="1">
      <c r="A29" s="589"/>
      <c r="B29" s="30" t="s">
        <v>387</v>
      </c>
      <c r="C29" s="85" t="str">
        <f>C28</f>
        <v>Tỷ đồng</v>
      </c>
      <c r="D29" s="28">
        <v>56808.763729999999</v>
      </c>
      <c r="E29" s="39">
        <v>67466.718864249997</v>
      </c>
      <c r="F29" s="28">
        <v>70698.050499999998</v>
      </c>
      <c r="G29" s="39">
        <v>84487.510270519997</v>
      </c>
      <c r="H29" s="102">
        <f t="shared" si="17"/>
        <v>124.44919737386442</v>
      </c>
      <c r="I29" s="102">
        <f t="shared" si="18"/>
        <v>119.50472420808831</v>
      </c>
      <c r="J29" s="239"/>
      <c r="K29" s="239"/>
      <c r="L29" s="239"/>
      <c r="M29" s="139"/>
      <c r="N29" s="247"/>
    </row>
    <row r="30" spans="1:14" s="44" customFormat="1" ht="24.95" customHeight="1">
      <c r="A30" s="589"/>
      <c r="B30" s="30" t="s">
        <v>478</v>
      </c>
      <c r="C30" s="85" t="str">
        <f t="shared" ref="C30:C31" si="19">C29</f>
        <v>Tỷ đồng</v>
      </c>
      <c r="D30" s="28">
        <v>48887.61118</v>
      </c>
      <c r="E30" s="39">
        <v>58476.210720000003</v>
      </c>
      <c r="F30" s="28">
        <v>62219.02519</v>
      </c>
      <c r="G30" s="39">
        <v>75160.58242952</v>
      </c>
      <c r="H30" s="102">
        <f t="shared" si="17"/>
        <v>127.26951407160165</v>
      </c>
      <c r="I30" s="102">
        <f t="shared" si="18"/>
        <v>120.8</v>
      </c>
      <c r="J30" s="239"/>
      <c r="K30" s="239"/>
      <c r="L30" s="239"/>
      <c r="M30" s="139"/>
      <c r="N30" s="247"/>
    </row>
    <row r="31" spans="1:14" s="44" customFormat="1" ht="24.95" customHeight="1">
      <c r="A31" s="589"/>
      <c r="B31" s="30" t="s">
        <v>479</v>
      </c>
      <c r="C31" s="85" t="str">
        <f t="shared" si="19"/>
        <v>Tỷ đồng</v>
      </c>
      <c r="D31" s="28">
        <v>7921.1525499999989</v>
      </c>
      <c r="E31" s="39">
        <v>8990.5081442499995</v>
      </c>
      <c r="F31" s="28">
        <v>8479.0253099999973</v>
      </c>
      <c r="G31" s="39">
        <v>9326.927840999997</v>
      </c>
      <c r="H31" s="102">
        <f t="shared" si="17"/>
        <v>107.0428230800832</v>
      </c>
      <c r="I31" s="102">
        <f t="shared" si="18"/>
        <v>110.00000000000001</v>
      </c>
      <c r="J31" s="239"/>
      <c r="K31" s="239"/>
      <c r="L31" s="239"/>
      <c r="M31" s="139"/>
      <c r="N31" s="247"/>
    </row>
    <row r="32" spans="1:14" s="44" customFormat="1" ht="24.95" customHeight="1">
      <c r="A32" s="589"/>
      <c r="B32" s="30" t="s">
        <v>388</v>
      </c>
      <c r="C32" s="85" t="str">
        <f>C29</f>
        <v>Tỷ đồng</v>
      </c>
      <c r="D32" s="28">
        <v>15845.602699999999</v>
      </c>
      <c r="E32" s="39">
        <v>16829.43253455</v>
      </c>
      <c r="F32" s="28">
        <v>16717.378189999999</v>
      </c>
      <c r="G32" s="39">
        <v>17804.00777235</v>
      </c>
      <c r="H32" s="102">
        <f t="shared" si="17"/>
        <v>105.5016871652348</v>
      </c>
      <c r="I32" s="102">
        <f t="shared" si="18"/>
        <v>106.5</v>
      </c>
      <c r="J32" s="239"/>
      <c r="K32" s="239"/>
      <c r="L32" s="239"/>
      <c r="M32" s="139"/>
      <c r="N32" s="247"/>
    </row>
    <row r="33" spans="1:14" s="48" customFormat="1" ht="24.95" customHeight="1">
      <c r="A33" s="45"/>
      <c r="B33" s="127" t="s">
        <v>389</v>
      </c>
      <c r="C33" s="27" t="str">
        <f>C32</f>
        <v>Tỷ đồng</v>
      </c>
      <c r="D33" s="28">
        <v>2004.1401599999999</v>
      </c>
      <c r="E33" s="39">
        <v>2095.8530092000001</v>
      </c>
      <c r="F33" s="28">
        <v>2150.5957799999996</v>
      </c>
      <c r="G33" s="39">
        <v>2301.1374845999999</v>
      </c>
      <c r="H33" s="102">
        <f t="shared" si="17"/>
        <v>107.30765357249264</v>
      </c>
      <c r="I33" s="102">
        <f t="shared" si="18"/>
        <v>107</v>
      </c>
      <c r="J33" s="239"/>
      <c r="K33" s="239"/>
      <c r="L33" s="239"/>
      <c r="M33" s="139"/>
      <c r="N33" s="247"/>
    </row>
    <row r="34" spans="1:14" s="44" customFormat="1" ht="24.95" customHeight="1">
      <c r="A34" s="589">
        <v>2</v>
      </c>
      <c r="B34" s="136" t="s">
        <v>476</v>
      </c>
      <c r="C34" s="590" t="s">
        <v>35</v>
      </c>
      <c r="D34" s="222">
        <v>107.82214943945971</v>
      </c>
      <c r="E34" s="137">
        <v>113.97171363601161</v>
      </c>
      <c r="F34" s="137">
        <f>F27/D27*100</f>
        <v>117.45869053655113</v>
      </c>
      <c r="G34" s="137">
        <f>G27/F27*100</f>
        <v>114.99606619089957</v>
      </c>
      <c r="H34" s="138" t="s">
        <v>52</v>
      </c>
      <c r="I34" s="138" t="s">
        <v>52</v>
      </c>
      <c r="J34" s="248"/>
      <c r="K34" s="248"/>
    </row>
    <row r="35" spans="1:14" s="44" customFormat="1" ht="24.95" customHeight="1">
      <c r="A35" s="589"/>
      <c r="B35" s="30" t="s">
        <v>390</v>
      </c>
      <c r="C35" s="85" t="s">
        <v>35</v>
      </c>
      <c r="D35" s="69">
        <v>104.2826520206481</v>
      </c>
      <c r="E35" s="66">
        <v>101</v>
      </c>
      <c r="F35" s="65">
        <f>H28</f>
        <v>101.9077757420975</v>
      </c>
      <c r="G35" s="66">
        <f>I28</f>
        <v>102</v>
      </c>
      <c r="H35" s="138" t="s">
        <v>52</v>
      </c>
      <c r="I35" s="138" t="s">
        <v>52</v>
      </c>
      <c r="J35" s="248"/>
      <c r="K35" s="248"/>
    </row>
    <row r="36" spans="1:14" s="44" customFormat="1" ht="24.95" customHeight="1">
      <c r="A36" s="589"/>
      <c r="B36" s="30" t="s">
        <v>387</v>
      </c>
      <c r="C36" s="85" t="s">
        <v>35</v>
      </c>
      <c r="D36" s="69">
        <v>110.0255002347222</v>
      </c>
      <c r="E36" s="66">
        <v>119.09115120057427</v>
      </c>
      <c r="F36" s="65">
        <f t="shared" ref="F36:G40" si="20">H29</f>
        <v>124.44919737386442</v>
      </c>
      <c r="G36" s="66">
        <f t="shared" si="20"/>
        <v>119.50472420808831</v>
      </c>
      <c r="H36" s="138" t="s">
        <v>52</v>
      </c>
      <c r="I36" s="138" t="s">
        <v>52</v>
      </c>
      <c r="J36" s="248"/>
      <c r="K36" s="248"/>
    </row>
    <row r="37" spans="1:14" s="44" customFormat="1" ht="24.95" customHeight="1">
      <c r="A37" s="589"/>
      <c r="B37" s="30" t="s">
        <v>478</v>
      </c>
      <c r="C37" s="85" t="str">
        <f t="shared" ref="C37:C38" si="21">C36</f>
        <v>%</v>
      </c>
      <c r="D37" s="69">
        <v>111.1962117446905</v>
      </c>
      <c r="E37" s="66">
        <v>120</v>
      </c>
      <c r="F37" s="65">
        <f t="shared" si="20"/>
        <v>127.26951407160165</v>
      </c>
      <c r="G37" s="66">
        <f t="shared" si="20"/>
        <v>120.8</v>
      </c>
      <c r="H37" s="138" t="s">
        <v>52</v>
      </c>
      <c r="I37" s="138" t="s">
        <v>52</v>
      </c>
      <c r="J37" s="248"/>
      <c r="K37" s="248"/>
    </row>
    <row r="38" spans="1:14" s="44" customFormat="1" ht="24.95" customHeight="1">
      <c r="A38" s="589"/>
      <c r="B38" s="30" t="s">
        <v>479</v>
      </c>
      <c r="C38" s="85" t="str">
        <f t="shared" si="21"/>
        <v>%</v>
      </c>
      <c r="D38" s="69">
        <v>103.33270853535801</v>
      </c>
      <c r="E38" s="66">
        <v>113.5</v>
      </c>
      <c r="F38" s="65">
        <f t="shared" si="20"/>
        <v>107.0428230800832</v>
      </c>
      <c r="G38" s="66">
        <f t="shared" si="20"/>
        <v>110.00000000000001</v>
      </c>
      <c r="H38" s="138" t="s">
        <v>52</v>
      </c>
      <c r="I38" s="138" t="s">
        <v>52</v>
      </c>
      <c r="J38" s="248"/>
      <c r="K38" s="248"/>
    </row>
    <row r="39" spans="1:14" s="44" customFormat="1" ht="24.95" customHeight="1">
      <c r="A39" s="589"/>
      <c r="B39" s="30" t="s">
        <v>388</v>
      </c>
      <c r="C39" s="85" t="s">
        <v>35</v>
      </c>
      <c r="D39" s="69">
        <v>103.44694892797254</v>
      </c>
      <c r="E39" s="66">
        <v>106.5</v>
      </c>
      <c r="F39" s="65">
        <f t="shared" si="20"/>
        <v>105.5016871652348</v>
      </c>
      <c r="G39" s="66">
        <f t="shared" si="20"/>
        <v>106.5</v>
      </c>
      <c r="H39" s="138" t="s">
        <v>52</v>
      </c>
      <c r="I39" s="138" t="s">
        <v>52</v>
      </c>
      <c r="J39" s="248"/>
      <c r="K39" s="248"/>
    </row>
    <row r="40" spans="1:14" s="48" customFormat="1" ht="24.95" customHeight="1">
      <c r="A40" s="45"/>
      <c r="B40" s="127" t="s">
        <v>389</v>
      </c>
      <c r="C40" s="27" t="s">
        <v>35</v>
      </c>
      <c r="D40" s="69">
        <v>104.77718164935403</v>
      </c>
      <c r="E40" s="66">
        <v>106</v>
      </c>
      <c r="F40" s="65">
        <f t="shared" si="20"/>
        <v>107.30765357249264</v>
      </c>
      <c r="G40" s="66">
        <f t="shared" si="20"/>
        <v>107</v>
      </c>
      <c r="H40" s="138" t="s">
        <v>52</v>
      </c>
      <c r="I40" s="138" t="s">
        <v>52</v>
      </c>
      <c r="J40" s="248"/>
      <c r="K40" s="248"/>
    </row>
    <row r="41" spans="1:14" s="48" customFormat="1" ht="32.25" customHeight="1">
      <c r="A41" s="589">
        <v>3</v>
      </c>
      <c r="B41" s="136" t="s">
        <v>409</v>
      </c>
      <c r="C41" s="590" t="s">
        <v>410</v>
      </c>
      <c r="D41" s="137">
        <f>D27/'Bieu 6'!D20</f>
        <v>90.306829923966248</v>
      </c>
      <c r="E41" s="137">
        <f>E27/'Bieu 6'!E20</f>
        <v>99.750306112753037</v>
      </c>
      <c r="F41" s="137">
        <f>F27/'Bieu 6'!F20</f>
        <v>103.07699777734592</v>
      </c>
      <c r="G41" s="137">
        <f>G27/'Bieu 6'!G20</f>
        <v>115.89611772040573</v>
      </c>
      <c r="H41" s="167">
        <f t="shared" ref="H41:H44" si="22">F41/D41*100</f>
        <v>114.14086604981209</v>
      </c>
      <c r="I41" s="167">
        <f t="shared" ref="I41:I44" si="23">G41/F41*100</f>
        <v>112.43645063348669</v>
      </c>
      <c r="J41" s="47"/>
    </row>
    <row r="42" spans="1:14" s="48" customFormat="1" ht="37.5">
      <c r="A42" s="42"/>
      <c r="B42" s="30" t="s">
        <v>390</v>
      </c>
      <c r="C42" s="85" t="s">
        <v>410</v>
      </c>
      <c r="D42" s="66">
        <f>D28/'Bieu 6'!D21</f>
        <v>41.264408427543685</v>
      </c>
      <c r="E42" s="66">
        <f>E28/'Bieu 6'!E21</f>
        <v>42.300167065739139</v>
      </c>
      <c r="F42" s="66">
        <f>F28/'Bieu 6'!F21</f>
        <v>42.694025731457906</v>
      </c>
      <c r="G42" s="66">
        <f>G28/'Bieu 6'!G21</f>
        <v>49.157327950530032</v>
      </c>
      <c r="H42" s="102">
        <f t="shared" si="22"/>
        <v>103.46452877526279</v>
      </c>
      <c r="I42" s="102">
        <f t="shared" si="23"/>
        <v>115.13865724381624</v>
      </c>
      <c r="J42" s="47"/>
    </row>
    <row r="43" spans="1:14" s="48" customFormat="1" ht="37.5">
      <c r="A43" s="42"/>
      <c r="B43" s="30" t="s">
        <v>387</v>
      </c>
      <c r="C43" s="85" t="s">
        <v>410</v>
      </c>
      <c r="D43" s="66">
        <f>D29/'Bieu 6'!D22</f>
        <v>145.40251786536984</v>
      </c>
      <c r="E43" s="66">
        <f>E29/'Bieu 6'!E22</f>
        <v>162.96308904408212</v>
      </c>
      <c r="F43" s="66">
        <f>F29/'Bieu 6'!F22</f>
        <v>170.76823792270531</v>
      </c>
      <c r="G43" s="66">
        <f>G29/'Bieu 6'!G22</f>
        <v>189.17937812476487</v>
      </c>
      <c r="H43" s="102">
        <f t="shared" si="22"/>
        <v>117.44517249750925</v>
      </c>
      <c r="I43" s="102">
        <f t="shared" si="23"/>
        <v>110.78136099898916</v>
      </c>
      <c r="J43" s="47"/>
    </row>
    <row r="44" spans="1:14" s="48" customFormat="1" ht="37.5">
      <c r="A44" s="42"/>
      <c r="B44" s="30" t="s">
        <v>388</v>
      </c>
      <c r="C44" s="85" t="s">
        <v>410</v>
      </c>
      <c r="D44" s="66">
        <f>D30/'Bieu 6'!D23</f>
        <v>176.17157181981983</v>
      </c>
      <c r="E44" s="66">
        <f>E30/'Bieu 6'!E23</f>
        <v>204.10544753926703</v>
      </c>
      <c r="F44" s="66">
        <f>F30/'Bieu 6'!F23</f>
        <v>217.16937239092496</v>
      </c>
      <c r="G44" s="66">
        <f>G30/'Bieu 6'!G23</f>
        <v>243.08079699068566</v>
      </c>
      <c r="H44" s="102">
        <f t="shared" si="22"/>
        <v>123.2715188651639</v>
      </c>
      <c r="I44" s="102">
        <f t="shared" si="23"/>
        <v>111.9314359637775</v>
      </c>
      <c r="J44" s="47"/>
    </row>
    <row r="45" spans="1:14" s="44" customFormat="1" ht="24.95" customHeight="1">
      <c r="A45" s="589">
        <v>4</v>
      </c>
      <c r="B45" s="136" t="s">
        <v>411</v>
      </c>
      <c r="C45" s="590" t="s">
        <v>35</v>
      </c>
      <c r="D45" s="137">
        <v>9.9311969292785562</v>
      </c>
      <c r="E45" s="137">
        <v>15.064793053295006</v>
      </c>
      <c r="F45" s="193">
        <f t="shared" ref="F45:G48" si="24">H41-100</f>
        <v>14.140866049812089</v>
      </c>
      <c r="G45" s="193">
        <f t="shared" si="24"/>
        <v>12.436450633486686</v>
      </c>
      <c r="H45" s="138" t="s">
        <v>52</v>
      </c>
      <c r="I45" s="138" t="s">
        <v>52</v>
      </c>
      <c r="J45" s="139"/>
      <c r="K45" s="139"/>
    </row>
    <row r="46" spans="1:14" s="44" customFormat="1" ht="24.95" customHeight="1">
      <c r="A46" s="589"/>
      <c r="B46" s="30" t="s">
        <v>390</v>
      </c>
      <c r="C46" s="85" t="s">
        <v>35</v>
      </c>
      <c r="D46" s="66">
        <v>13.019322511059372</v>
      </c>
      <c r="E46" s="66">
        <v>9.2060418430325086</v>
      </c>
      <c r="F46" s="65">
        <f t="shared" si="24"/>
        <v>3.4645287752627922</v>
      </c>
      <c r="G46" s="65">
        <f t="shared" si="24"/>
        <v>15.13865724381624</v>
      </c>
      <c r="H46" s="138" t="s">
        <v>52</v>
      </c>
      <c r="I46" s="138" t="s">
        <v>52</v>
      </c>
      <c r="J46" s="139"/>
      <c r="K46" s="139"/>
    </row>
    <row r="47" spans="1:14" s="44" customFormat="1" ht="24.95" customHeight="1">
      <c r="A47" s="589"/>
      <c r="B47" s="30" t="s">
        <v>387</v>
      </c>
      <c r="C47" s="85" t="s">
        <v>35</v>
      </c>
      <c r="D47" s="66">
        <v>9.6381581729644665</v>
      </c>
      <c r="E47" s="66">
        <v>15.777666258462418</v>
      </c>
      <c r="F47" s="65">
        <f t="shared" si="24"/>
        <v>17.445172497509247</v>
      </c>
      <c r="G47" s="65">
        <f t="shared" si="24"/>
        <v>10.781360998989157</v>
      </c>
      <c r="H47" s="138" t="s">
        <v>52</v>
      </c>
      <c r="I47" s="138" t="s">
        <v>52</v>
      </c>
      <c r="J47" s="139"/>
      <c r="K47" s="139"/>
    </row>
    <row r="48" spans="1:14" s="44" customFormat="1" ht="24.95" customHeight="1">
      <c r="A48" s="589"/>
      <c r="B48" s="30" t="s">
        <v>388</v>
      </c>
      <c r="C48" s="85" t="s">
        <v>35</v>
      </c>
      <c r="D48" s="66">
        <v>-7.1774819445841302</v>
      </c>
      <c r="E48" s="66">
        <v>2.039196515864063</v>
      </c>
      <c r="F48" s="65">
        <f>H44-100</f>
        <v>23.271518865163898</v>
      </c>
      <c r="G48" s="65">
        <f t="shared" si="24"/>
        <v>11.931435963777503</v>
      </c>
      <c r="H48" s="138" t="s">
        <v>52</v>
      </c>
      <c r="I48" s="138" t="s">
        <v>52</v>
      </c>
      <c r="J48" s="139"/>
      <c r="K48" s="139"/>
    </row>
    <row r="49" spans="1:9" s="44" customFormat="1" ht="37.5">
      <c r="A49" s="589" t="s">
        <v>57</v>
      </c>
      <c r="B49" s="118" t="s">
        <v>414</v>
      </c>
      <c r="C49" s="589" t="s">
        <v>35</v>
      </c>
      <c r="D49" s="589">
        <v>26.5</v>
      </c>
      <c r="E49" s="589">
        <v>29.5</v>
      </c>
      <c r="F49" s="589">
        <f>E49</f>
        <v>29.5</v>
      </c>
      <c r="G49" s="589">
        <v>31.5</v>
      </c>
      <c r="H49" s="208" t="s">
        <v>52</v>
      </c>
      <c r="I49" s="208" t="s">
        <v>52</v>
      </c>
    </row>
    <row r="52" spans="1:9">
      <c r="A52" s="61"/>
      <c r="B52" s="121"/>
    </row>
  </sheetData>
  <sheetProtection formatCells="0" formatColumns="0" formatRows="0" insertColumns="0" insertRows="0" insertHyperlinks="0" deleteColumns="0" deleteRows="0" sort="0" autoFilter="0" pivotTables="0"/>
  <mergeCells count="9">
    <mergeCell ref="A1:I1"/>
    <mergeCell ref="A2:I2"/>
    <mergeCell ref="A4:A5"/>
    <mergeCell ref="B4:B5"/>
    <mergeCell ref="C4:C5"/>
    <mergeCell ref="D4:D5"/>
    <mergeCell ref="E4:F4"/>
    <mergeCell ref="G4:G5"/>
    <mergeCell ref="H4:I4"/>
  </mergeCells>
  <printOptions horizontalCentered="1"/>
  <pageMargins left="0.43307086614173229" right="0.43307086614173229" top="0.69" bottom="0.45" header="0.35433070866141736" footer="0.27559055118110237"/>
  <pageSetup paperSize="9" scale="85" fitToWidth="0" orientation="landscape" r:id="rId1"/>
  <headerFooter differentFirst="1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7"/>
  <sheetViews>
    <sheetView zoomScale="40" zoomScaleNormal="40" zoomScaleSheetLayoutView="70" workbookViewId="0">
      <selection activeCell="Q56" sqref="Q56"/>
    </sheetView>
  </sheetViews>
  <sheetFormatPr defaultColWidth="9.140625" defaultRowHeight="18.75"/>
  <cols>
    <col min="1" max="1" width="5.7109375" style="592" customWidth="1"/>
    <col min="2" max="2" width="58.42578125" style="256" customWidth="1"/>
    <col min="3" max="3" width="14.5703125" style="259" customWidth="1"/>
    <col min="4" max="4" width="12.28515625" style="259" customWidth="1"/>
    <col min="5" max="5" width="12.28515625" style="256" customWidth="1"/>
    <col min="6" max="6" width="13.7109375" style="256" customWidth="1"/>
    <col min="7" max="7" width="12.5703125" style="460" customWidth="1"/>
    <col min="8" max="8" width="12.7109375" style="259" customWidth="1"/>
    <col min="9" max="9" width="11.5703125" style="259" customWidth="1"/>
    <col min="10" max="10" width="13.5703125" style="256" customWidth="1"/>
    <col min="11" max="11" width="12.28515625" style="256" bestFit="1" customWidth="1"/>
    <col min="12" max="16384" width="9.140625" style="256"/>
  </cols>
  <sheetData>
    <row r="1" spans="1:9" ht="24.95" customHeight="1">
      <c r="A1" s="610" t="s">
        <v>221</v>
      </c>
      <c r="B1" s="610"/>
      <c r="C1" s="610"/>
      <c r="D1" s="610"/>
      <c r="E1" s="610"/>
      <c r="F1" s="610"/>
      <c r="G1" s="610"/>
      <c r="H1" s="610"/>
      <c r="I1" s="610"/>
    </row>
    <row r="2" spans="1:9" s="258" customFormat="1" ht="24.95" customHeight="1">
      <c r="A2" s="257"/>
      <c r="B2" s="611" t="s">
        <v>447</v>
      </c>
      <c r="C2" s="611"/>
      <c r="D2" s="611"/>
      <c r="E2" s="611"/>
      <c r="F2" s="611"/>
      <c r="G2" s="611"/>
      <c r="H2" s="611"/>
      <c r="I2" s="611"/>
    </row>
    <row r="3" spans="1:9" ht="24.95" customHeight="1">
      <c r="G3" s="260"/>
    </row>
    <row r="4" spans="1:9" ht="25.5" customHeight="1">
      <c r="A4" s="612" t="s">
        <v>37</v>
      </c>
      <c r="B4" s="613" t="s">
        <v>31</v>
      </c>
      <c r="C4" s="613" t="s">
        <v>34</v>
      </c>
      <c r="D4" s="607" t="s">
        <v>572</v>
      </c>
      <c r="E4" s="607" t="s">
        <v>573</v>
      </c>
      <c r="F4" s="607"/>
      <c r="G4" s="607" t="s">
        <v>574</v>
      </c>
      <c r="H4" s="602" t="s">
        <v>30</v>
      </c>
      <c r="I4" s="603"/>
    </row>
    <row r="5" spans="1:9" ht="48.75" customHeight="1">
      <c r="A5" s="612"/>
      <c r="B5" s="614"/>
      <c r="C5" s="612"/>
      <c r="D5" s="607"/>
      <c r="E5" s="24" t="s">
        <v>33</v>
      </c>
      <c r="F5" s="24" t="s">
        <v>407</v>
      </c>
      <c r="G5" s="607"/>
      <c r="H5" s="148" t="s">
        <v>575</v>
      </c>
      <c r="I5" s="148" t="s">
        <v>576</v>
      </c>
    </row>
    <row r="6" spans="1:9" ht="28.5" customHeight="1">
      <c r="A6" s="262" t="s">
        <v>78</v>
      </c>
      <c r="B6" s="263" t="s">
        <v>262</v>
      </c>
      <c r="C6" s="262"/>
      <c r="D6" s="264"/>
      <c r="E6" s="265"/>
      <c r="F6" s="264"/>
      <c r="G6" s="266"/>
      <c r="H6" s="266"/>
      <c r="I6" s="266"/>
    </row>
    <row r="7" spans="1:9" ht="22.5" customHeight="1">
      <c r="A7" s="267"/>
      <c r="B7" s="268" t="s">
        <v>263</v>
      </c>
      <c r="C7" s="269" t="s">
        <v>5</v>
      </c>
      <c r="D7" s="270">
        <f t="shared" ref="D7:E7" si="0">D8+D9+D10</f>
        <v>330447.05512355157</v>
      </c>
      <c r="E7" s="270">
        <f t="shared" si="0"/>
        <v>390464.15445326699</v>
      </c>
      <c r="F7" s="270">
        <f t="shared" ref="F7:G7" si="1">F8+F9+F10</f>
        <v>407052.60800000001</v>
      </c>
      <c r="G7" s="270">
        <f t="shared" si="1"/>
        <v>493324.38628500002</v>
      </c>
      <c r="H7" s="271">
        <f t="shared" ref="H7:H8" si="2">F7/D7*100</f>
        <v>123.18239841714013</v>
      </c>
      <c r="I7" s="271">
        <f t="shared" ref="I7:I8" si="3">G7/F7*100</f>
        <v>121.19425759458591</v>
      </c>
    </row>
    <row r="8" spans="1:9" ht="21.95" customHeight="1">
      <c r="A8" s="593"/>
      <c r="B8" s="272" t="s">
        <v>530</v>
      </c>
      <c r="C8" s="273" t="s">
        <v>5</v>
      </c>
      <c r="D8" s="274">
        <f t="shared" ref="D8:E8" si="4">D16</f>
        <v>21674.932778759998</v>
      </c>
      <c r="E8" s="274">
        <f t="shared" si="4"/>
        <v>21982.331908066997</v>
      </c>
      <c r="F8" s="274">
        <f t="shared" ref="F8:G8" si="5">F16</f>
        <v>22089.313999999998</v>
      </c>
      <c r="G8" s="274">
        <f t="shared" si="5"/>
        <v>22570</v>
      </c>
      <c r="H8" s="275">
        <f t="shared" si="2"/>
        <v>101.91179933737126</v>
      </c>
      <c r="I8" s="275">
        <f t="shared" si="3"/>
        <v>102.17610198306748</v>
      </c>
    </row>
    <row r="9" spans="1:9" ht="21.95" customHeight="1">
      <c r="A9" s="593"/>
      <c r="B9" s="276" t="s">
        <v>264</v>
      </c>
      <c r="C9" s="273" t="s">
        <v>5</v>
      </c>
      <c r="D9" s="274">
        <f t="shared" ref="D9:E9" si="6">D177</f>
        <v>283087.88398479158</v>
      </c>
      <c r="E9" s="274">
        <f t="shared" si="6"/>
        <v>340999.6875</v>
      </c>
      <c r="F9" s="274">
        <f t="shared" ref="F9:G9" si="7">F177</f>
        <v>356931.891</v>
      </c>
      <c r="G9" s="274">
        <f t="shared" si="7"/>
        <v>440060</v>
      </c>
      <c r="H9" s="275">
        <f t="shared" ref="H9:H14" si="8">F9/D9*100</f>
        <v>126.0851880962788</v>
      </c>
      <c r="I9" s="275">
        <f t="shared" ref="I9:I14" si="9">G9/F9*100</f>
        <v>123.28962782426186</v>
      </c>
    </row>
    <row r="10" spans="1:9" ht="21.95" customHeight="1">
      <c r="A10" s="593"/>
      <c r="B10" s="276" t="s">
        <v>265</v>
      </c>
      <c r="C10" s="273" t="s">
        <v>5</v>
      </c>
      <c r="D10" s="274">
        <f t="shared" ref="D10:E10" si="10">D234</f>
        <v>25684.238359999999</v>
      </c>
      <c r="E10" s="274">
        <f t="shared" si="10"/>
        <v>27482.135045200001</v>
      </c>
      <c r="F10" s="274">
        <f t="shared" ref="F10:G10" si="11">F234</f>
        <v>28031.402999999998</v>
      </c>
      <c r="G10" s="274">
        <f t="shared" si="11"/>
        <v>30694.386284999997</v>
      </c>
      <c r="H10" s="275">
        <f t="shared" si="8"/>
        <v>109.13854094912705</v>
      </c>
      <c r="I10" s="275">
        <f t="shared" si="9"/>
        <v>109.5</v>
      </c>
    </row>
    <row r="11" spans="1:9" ht="21" customHeight="1">
      <c r="A11" s="267"/>
      <c r="B11" s="268" t="s">
        <v>266</v>
      </c>
      <c r="C11" s="269" t="s">
        <v>5</v>
      </c>
      <c r="D11" s="270">
        <f t="shared" ref="D11:E11" si="12">D12+D13+D14</f>
        <v>424476.37002504163</v>
      </c>
      <c r="E11" s="270">
        <f t="shared" si="12"/>
        <v>500943.86572425923</v>
      </c>
      <c r="F11" s="270">
        <f t="shared" ref="F11:G11" si="13">F12+F13+F14</f>
        <v>528587.33042350993</v>
      </c>
      <c r="G11" s="270">
        <f t="shared" si="13"/>
        <v>652593.96589851973</v>
      </c>
      <c r="H11" s="271">
        <f t="shared" si="8"/>
        <v>124.52691545405139</v>
      </c>
      <c r="I11" s="271">
        <f t="shared" si="9"/>
        <v>123.46000903496008</v>
      </c>
    </row>
    <row r="12" spans="1:9" ht="21.95" customHeight="1">
      <c r="A12" s="593"/>
      <c r="B12" s="272" t="s">
        <v>546</v>
      </c>
      <c r="C12" s="273" t="s">
        <v>5</v>
      </c>
      <c r="D12" s="274">
        <f t="shared" ref="D12:E12" si="14">D23</f>
        <v>38312.078138506913</v>
      </c>
      <c r="E12" s="274">
        <f t="shared" si="14"/>
        <v>39233.606775859262</v>
      </c>
      <c r="F12" s="274">
        <f t="shared" ref="F12:G12" si="15">F23</f>
        <v>37634.01656406148</v>
      </c>
      <c r="G12" s="274">
        <f t="shared" si="15"/>
        <v>38752.039035250637</v>
      </c>
      <c r="H12" s="275">
        <f t="shared" si="8"/>
        <v>98.230162373353679</v>
      </c>
      <c r="I12" s="275">
        <f t="shared" si="9"/>
        <v>102.9707763700588</v>
      </c>
    </row>
    <row r="13" spans="1:9" ht="21.95" customHeight="1">
      <c r="A13" s="593"/>
      <c r="B13" s="276" t="s">
        <v>264</v>
      </c>
      <c r="C13" s="273" t="s">
        <v>5</v>
      </c>
      <c r="D13" s="274">
        <f t="shared" ref="D13:E13" si="16">D181</f>
        <v>343433.4641565347</v>
      </c>
      <c r="E13" s="274">
        <f t="shared" si="16"/>
        <v>415560.96499999997</v>
      </c>
      <c r="F13" s="274">
        <f t="shared" ref="F13:G13" si="17">F181</f>
        <v>443426.92205382598</v>
      </c>
      <c r="G13" s="274">
        <f t="shared" si="17"/>
        <v>560850</v>
      </c>
      <c r="H13" s="275">
        <f t="shared" si="8"/>
        <v>129.1158166962189</v>
      </c>
      <c r="I13" s="275">
        <f t="shared" si="9"/>
        <v>126.48081839557781</v>
      </c>
    </row>
    <row r="14" spans="1:9" ht="21.95" customHeight="1">
      <c r="A14" s="593"/>
      <c r="B14" s="276" t="s">
        <v>265</v>
      </c>
      <c r="C14" s="273" t="s">
        <v>5</v>
      </c>
      <c r="D14" s="274">
        <f t="shared" ref="D14:E14" si="18">D235</f>
        <v>42730.827729999997</v>
      </c>
      <c r="E14" s="274">
        <f t="shared" si="18"/>
        <v>46149.293948400002</v>
      </c>
      <c r="F14" s="274">
        <f t="shared" ref="F14:G14" si="19">F235</f>
        <v>47526.391805622465</v>
      </c>
      <c r="G14" s="274">
        <f t="shared" si="19"/>
        <v>52991.926863269051</v>
      </c>
      <c r="H14" s="275">
        <f t="shared" si="8"/>
        <v>111.2227268470525</v>
      </c>
      <c r="I14" s="275">
        <f t="shared" si="9"/>
        <v>111.5</v>
      </c>
    </row>
    <row r="15" spans="1:9" s="281" customFormat="1" ht="27" customHeight="1">
      <c r="A15" s="262" t="s">
        <v>38</v>
      </c>
      <c r="B15" s="277" t="s">
        <v>80</v>
      </c>
      <c r="C15" s="278"/>
      <c r="D15" s="279"/>
      <c r="E15" s="280"/>
      <c r="F15" s="279"/>
      <c r="G15" s="280"/>
      <c r="H15" s="279"/>
      <c r="I15" s="279"/>
    </row>
    <row r="16" spans="1:9" s="287" customFormat="1" ht="37.5">
      <c r="A16" s="593">
        <v>1</v>
      </c>
      <c r="B16" s="282" t="s">
        <v>118</v>
      </c>
      <c r="C16" s="283" t="s">
        <v>5</v>
      </c>
      <c r="D16" s="285">
        <f>D17+D21+D22</f>
        <v>21674.932778759998</v>
      </c>
      <c r="E16" s="285">
        <f>E17+E21+E22</f>
        <v>21982.331908066997</v>
      </c>
      <c r="F16" s="285">
        <f>F17+F21+F22</f>
        <v>22089.313999999998</v>
      </c>
      <c r="G16" s="285">
        <f>G17+G21+G22</f>
        <v>22570</v>
      </c>
      <c r="H16" s="286">
        <f t="shared" ref="H16:H17" si="20">F16/D16*100</f>
        <v>101.91179933737126</v>
      </c>
      <c r="I16" s="286">
        <f t="shared" ref="I16:I17" si="21">G16/F16*100</f>
        <v>102.17610198306748</v>
      </c>
    </row>
    <row r="17" spans="1:13" ht="20.100000000000001" customHeight="1">
      <c r="A17" s="593"/>
      <c r="B17" s="288" t="s">
        <v>7</v>
      </c>
      <c r="C17" s="273" t="s">
        <v>5</v>
      </c>
      <c r="D17" s="289">
        <f t="shared" ref="D17" si="22">D18+D19+D20</f>
        <v>19222.258999999998</v>
      </c>
      <c r="E17" s="290">
        <f>E18+E19+E20</f>
        <v>19390.404025999997</v>
      </c>
      <c r="F17" s="289">
        <f t="shared" ref="F17" si="23">F18+F19+F20</f>
        <v>19597.360999999997</v>
      </c>
      <c r="G17" s="290">
        <f>G18+G19+G20</f>
        <v>19980</v>
      </c>
      <c r="H17" s="275">
        <f t="shared" si="20"/>
        <v>101.95139395426938</v>
      </c>
      <c r="I17" s="275">
        <f t="shared" si="21"/>
        <v>101.95250268645866</v>
      </c>
      <c r="J17" s="494"/>
      <c r="K17" s="494"/>
      <c r="M17" s="494"/>
    </row>
    <row r="18" spans="1:13" ht="20.100000000000001" customHeight="1">
      <c r="A18" s="593"/>
      <c r="B18" s="288" t="s">
        <v>403</v>
      </c>
      <c r="C18" s="273" t="s">
        <v>5</v>
      </c>
      <c r="D18" s="291">
        <f>9658.578+7</f>
        <v>9665.5779999999995</v>
      </c>
      <c r="E18" s="291">
        <f>D18*0.977</f>
        <v>9443.2697059999991</v>
      </c>
      <c r="F18" s="291">
        <f>9658.578+235</f>
        <v>9893.5779999999995</v>
      </c>
      <c r="G18" s="291">
        <v>9850</v>
      </c>
      <c r="H18" s="275">
        <f>F18/D18*100</f>
        <v>102.35888634906263</v>
      </c>
      <c r="I18" s="275">
        <f t="shared" ref="I18:I29" si="24">G18/F18*100</f>
        <v>99.559532456306513</v>
      </c>
      <c r="J18" s="494"/>
      <c r="K18" s="494"/>
    </row>
    <row r="19" spans="1:13" ht="20.100000000000001" customHeight="1">
      <c r="A19" s="593"/>
      <c r="B19" s="288" t="s">
        <v>404</v>
      </c>
      <c r="C19" s="273" t="s">
        <v>5</v>
      </c>
      <c r="D19" s="291">
        <f>9083.783</f>
        <v>9083.7829999999994</v>
      </c>
      <c r="E19" s="291">
        <f>D19*1.04</f>
        <v>9447.1343199999992</v>
      </c>
      <c r="F19" s="291">
        <f>9083.783+100</f>
        <v>9183.7829999999994</v>
      </c>
      <c r="G19" s="291">
        <v>9550</v>
      </c>
      <c r="H19" s="275">
        <f t="shared" ref="H19:H28" si="25">F19/D19*100</f>
        <v>101.10086293342762</v>
      </c>
      <c r="I19" s="275">
        <f t="shared" si="24"/>
        <v>103.98764866286585</v>
      </c>
    </row>
    <row r="20" spans="1:13" ht="20.100000000000001" customHeight="1">
      <c r="A20" s="593"/>
      <c r="B20" s="288" t="s">
        <v>405</v>
      </c>
      <c r="C20" s="273" t="s">
        <v>5</v>
      </c>
      <c r="D20" s="291">
        <v>472.89800000000002</v>
      </c>
      <c r="E20" s="291">
        <v>500</v>
      </c>
      <c r="F20" s="291">
        <v>520</v>
      </c>
      <c r="G20" s="291">
        <v>580</v>
      </c>
      <c r="H20" s="275">
        <f t="shared" si="25"/>
        <v>109.96028741927435</v>
      </c>
      <c r="I20" s="275">
        <f t="shared" si="24"/>
        <v>111.53846153846155</v>
      </c>
    </row>
    <row r="21" spans="1:13" ht="20.100000000000001" customHeight="1">
      <c r="A21" s="593"/>
      <c r="B21" s="288" t="s">
        <v>8</v>
      </c>
      <c r="C21" s="273" t="s">
        <v>5</v>
      </c>
      <c r="D21" s="291">
        <v>1175.6329187600002</v>
      </c>
      <c r="E21" s="291">
        <f>D21*1.075</f>
        <v>1263.8053876670001</v>
      </c>
      <c r="F21" s="291">
        <v>1160.82</v>
      </c>
      <c r="G21" s="291">
        <v>1190</v>
      </c>
      <c r="H21" s="275">
        <f t="shared" si="25"/>
        <v>98.740004764784558</v>
      </c>
      <c r="I21" s="275">
        <f t="shared" si="24"/>
        <v>102.51374028703847</v>
      </c>
    </row>
    <row r="22" spans="1:13" ht="20.100000000000001" customHeight="1">
      <c r="A22" s="593"/>
      <c r="B22" s="288" t="s">
        <v>9</v>
      </c>
      <c r="C22" s="273" t="s">
        <v>5</v>
      </c>
      <c r="D22" s="291">
        <v>1277.0408600000001</v>
      </c>
      <c r="E22" s="291">
        <f>D22*1.04</f>
        <v>1328.1224944000001</v>
      </c>
      <c r="F22" s="291">
        <v>1331.133</v>
      </c>
      <c r="G22" s="291">
        <v>1400</v>
      </c>
      <c r="H22" s="275">
        <f>F22/D22*100</f>
        <v>104.23574074207774</v>
      </c>
      <c r="I22" s="275">
        <f t="shared" si="24"/>
        <v>105.17356267179913</v>
      </c>
    </row>
    <row r="23" spans="1:13" s="287" customFormat="1" ht="37.5">
      <c r="A23" s="593">
        <v>2</v>
      </c>
      <c r="B23" s="282" t="s">
        <v>119</v>
      </c>
      <c r="C23" s="283" t="s">
        <v>5</v>
      </c>
      <c r="D23" s="284">
        <f>D24+D28+D29</f>
        <v>38312.078138506913</v>
      </c>
      <c r="E23" s="284">
        <f>E24+E28+E29</f>
        <v>39233.606775859262</v>
      </c>
      <c r="F23" s="284">
        <f>F24+F28+F29</f>
        <v>37634.01656406148</v>
      </c>
      <c r="G23" s="284">
        <f>G24+G28+G29</f>
        <v>38752.039035250637</v>
      </c>
      <c r="H23" s="286">
        <f>F23/D23*100</f>
        <v>98.230162373353679</v>
      </c>
      <c r="I23" s="286">
        <f t="shared" si="24"/>
        <v>102.9707763700588</v>
      </c>
    </row>
    <row r="24" spans="1:13" ht="20.100000000000001" customHeight="1">
      <c r="A24" s="593"/>
      <c r="B24" s="288" t="s">
        <v>7</v>
      </c>
      <c r="C24" s="273" t="s">
        <v>5</v>
      </c>
      <c r="D24" s="290">
        <f>D25+D26+D27</f>
        <v>34702</v>
      </c>
      <c r="E24" s="289">
        <v>35324.997926175209</v>
      </c>
      <c r="F24" s="290">
        <f>F25+F26+F27</f>
        <v>33986</v>
      </c>
      <c r="G24" s="289">
        <f>G25+G26+G27</f>
        <v>34932.039035250637</v>
      </c>
      <c r="H24" s="275">
        <f t="shared" si="25"/>
        <v>97.936718344763989</v>
      </c>
      <c r="I24" s="275">
        <f t="shared" si="24"/>
        <v>102.7836139447144</v>
      </c>
      <c r="J24" s="494"/>
      <c r="K24" s="494"/>
      <c r="M24" s="494"/>
    </row>
    <row r="25" spans="1:13" ht="20.100000000000001" customHeight="1">
      <c r="A25" s="593"/>
      <c r="B25" s="288" t="s">
        <v>403</v>
      </c>
      <c r="C25" s="273" t="s">
        <v>5</v>
      </c>
      <c r="D25" s="291">
        <f>19500-1000-406</f>
        <v>18094</v>
      </c>
      <c r="E25" s="274">
        <v>18957.815913594543</v>
      </c>
      <c r="F25" s="291">
        <f>19339-700</f>
        <v>18639</v>
      </c>
      <c r="G25" s="274">
        <f>F25*(I18/100+0.3/100)</f>
        <v>18612.818254530972</v>
      </c>
      <c r="H25" s="275">
        <f t="shared" si="25"/>
        <v>103.01204819277108</v>
      </c>
      <c r="I25" s="275">
        <f t="shared" si="24"/>
        <v>99.859532456306525</v>
      </c>
      <c r="J25" s="494"/>
      <c r="K25" s="494"/>
    </row>
    <row r="26" spans="1:13" ht="20.100000000000001" customHeight="1">
      <c r="A26" s="593"/>
      <c r="B26" s="288" t="s">
        <v>404</v>
      </c>
      <c r="C26" s="273" t="s">
        <v>5</v>
      </c>
      <c r="D26" s="291">
        <f>17408-1500</f>
        <v>15908</v>
      </c>
      <c r="E26" s="274">
        <v>15673.105089503742</v>
      </c>
      <c r="F26" s="291">
        <f>15100-533</f>
        <v>14567</v>
      </c>
      <c r="G26" s="274">
        <f>F26*(I19/100+2/100)</f>
        <v>15439.220780719668</v>
      </c>
      <c r="H26" s="275">
        <f>F26/D26*100</f>
        <v>91.570279104852901</v>
      </c>
      <c r="I26" s="275">
        <f t="shared" si="24"/>
        <v>105.98764866286585</v>
      </c>
    </row>
    <row r="27" spans="1:13" ht="20.100000000000001" customHeight="1">
      <c r="A27" s="593"/>
      <c r="B27" s="288" t="s">
        <v>405</v>
      </c>
      <c r="C27" s="273" t="s">
        <v>5</v>
      </c>
      <c r="D27" s="291">
        <v>700</v>
      </c>
      <c r="E27" s="274">
        <v>694.07692307692309</v>
      </c>
      <c r="F27" s="291">
        <v>780</v>
      </c>
      <c r="G27" s="274">
        <v>880</v>
      </c>
      <c r="H27" s="275">
        <f>F27/D27*100</f>
        <v>111.42857142857143</v>
      </c>
      <c r="I27" s="275">
        <f t="shared" si="24"/>
        <v>112.82051282051282</v>
      </c>
    </row>
    <row r="28" spans="1:13" ht="20.100000000000001" customHeight="1">
      <c r="A28" s="593"/>
      <c r="B28" s="288" t="s">
        <v>8</v>
      </c>
      <c r="C28" s="273" t="s">
        <v>5</v>
      </c>
      <c r="D28" s="291">
        <v>1734.2570730100399</v>
      </c>
      <c r="E28" s="274">
        <v>1810.2700632033457</v>
      </c>
      <c r="F28" s="291">
        <v>1668.4516711551573</v>
      </c>
      <c r="G28" s="274">
        <v>1720</v>
      </c>
      <c r="H28" s="275">
        <f t="shared" si="25"/>
        <v>96.205556668673779</v>
      </c>
      <c r="I28" s="275">
        <f t="shared" si="24"/>
        <v>103.08959077065462</v>
      </c>
    </row>
    <row r="29" spans="1:13" ht="20.100000000000001" customHeight="1">
      <c r="A29" s="593"/>
      <c r="B29" s="288" t="s">
        <v>9</v>
      </c>
      <c r="C29" s="273" t="s">
        <v>5</v>
      </c>
      <c r="D29" s="291">
        <v>1875.8210654968707</v>
      </c>
      <c r="E29" s="274">
        <v>2098.3387864807069</v>
      </c>
      <c r="F29" s="291">
        <v>1979.564892906327</v>
      </c>
      <c r="G29" s="274">
        <v>2100</v>
      </c>
      <c r="H29" s="275">
        <f>F29/D29*100</f>
        <v>105.53058227768524</v>
      </c>
      <c r="I29" s="275">
        <f t="shared" si="24"/>
        <v>106.08391811378581</v>
      </c>
    </row>
    <row r="30" spans="1:13" s="287" customFormat="1" ht="20.100000000000001" customHeight="1">
      <c r="A30" s="593" t="s">
        <v>78</v>
      </c>
      <c r="B30" s="292" t="s">
        <v>120</v>
      </c>
      <c r="C30" s="283" t="s">
        <v>76</v>
      </c>
      <c r="D30" s="293">
        <v>135</v>
      </c>
      <c r="E30" s="293" t="s">
        <v>529</v>
      </c>
      <c r="F30" s="293">
        <v>135</v>
      </c>
      <c r="G30" s="293" t="s">
        <v>582</v>
      </c>
      <c r="H30" s="286">
        <f>F30/D30*100</f>
        <v>100</v>
      </c>
      <c r="I30" s="286">
        <f>137/F30*100</f>
        <v>101.48148148148148</v>
      </c>
    </row>
    <row r="31" spans="1:13" s="287" customFormat="1" ht="24" customHeight="1">
      <c r="A31" s="593">
        <v>3</v>
      </c>
      <c r="B31" s="294" t="s">
        <v>121</v>
      </c>
      <c r="C31" s="295"/>
      <c r="D31" s="293"/>
      <c r="E31" s="296"/>
      <c r="F31" s="293"/>
      <c r="G31" s="296"/>
      <c r="H31" s="296"/>
      <c r="I31" s="593"/>
    </row>
    <row r="32" spans="1:13" s="258" customFormat="1" ht="20.100000000000001" customHeight="1">
      <c r="A32" s="297">
        <v>1</v>
      </c>
      <c r="B32" s="298" t="s">
        <v>122</v>
      </c>
      <c r="C32" s="299"/>
      <c r="D32" s="300"/>
      <c r="E32" s="299"/>
      <c r="F32" s="300"/>
      <c r="G32" s="299"/>
      <c r="H32" s="301"/>
      <c r="I32" s="299"/>
    </row>
    <row r="33" spans="1:9" s="258" customFormat="1" ht="20.100000000000001" customHeight="1">
      <c r="A33" s="302" t="s">
        <v>90</v>
      </c>
      <c r="B33" s="542" t="s">
        <v>123</v>
      </c>
      <c r="C33" s="543"/>
      <c r="D33" s="300"/>
      <c r="E33" s="299"/>
      <c r="F33" s="300"/>
      <c r="G33" s="299"/>
      <c r="H33" s="301"/>
      <c r="I33" s="299"/>
    </row>
    <row r="34" spans="1:9" s="258" customFormat="1" ht="20.100000000000001" customHeight="1">
      <c r="A34" s="594"/>
      <c r="B34" s="415" t="s">
        <v>124</v>
      </c>
      <c r="C34" s="261" t="s">
        <v>36</v>
      </c>
      <c r="D34" s="497">
        <f>D37+D45</f>
        <v>109842</v>
      </c>
      <c r="E34" s="497">
        <f>E37+E45</f>
        <v>108900</v>
      </c>
      <c r="F34" s="544">
        <v>108284</v>
      </c>
      <c r="G34" s="544">
        <v>108000</v>
      </c>
      <c r="H34" s="498">
        <f>ROUND(F34/D34*100,2)</f>
        <v>98.58</v>
      </c>
      <c r="I34" s="498">
        <f>ROUND(G34/F34*100,2)</f>
        <v>99.74</v>
      </c>
    </row>
    <row r="35" spans="1:9" s="258" customFormat="1" ht="20.100000000000001" customHeight="1">
      <c r="A35" s="594"/>
      <c r="B35" s="415" t="s">
        <v>125</v>
      </c>
      <c r="C35" s="261" t="s">
        <v>56</v>
      </c>
      <c r="D35" s="497">
        <f>D39+D47</f>
        <v>623171</v>
      </c>
      <c r="E35" s="497">
        <f>E39+E47</f>
        <v>616740</v>
      </c>
      <c r="F35" s="544">
        <v>613426</v>
      </c>
      <c r="G35" s="544">
        <v>620030</v>
      </c>
      <c r="H35" s="498">
        <f>ROUND(F35/D35*100,2)</f>
        <v>98.44</v>
      </c>
      <c r="I35" s="498">
        <f>ROUND(G35/F35*100,2)</f>
        <v>101.08</v>
      </c>
    </row>
    <row r="36" spans="1:9" s="258" customFormat="1" ht="20.100000000000001" customHeight="1">
      <c r="A36" s="499" t="s">
        <v>78</v>
      </c>
      <c r="B36" s="500" t="s">
        <v>126</v>
      </c>
      <c r="C36" s="454"/>
      <c r="D36" s="501"/>
      <c r="E36" s="501"/>
      <c r="F36" s="545"/>
      <c r="G36" s="545"/>
      <c r="H36" s="498"/>
      <c r="I36" s="498"/>
    </row>
    <row r="37" spans="1:9" s="258" customFormat="1" ht="20.100000000000001" customHeight="1">
      <c r="A37" s="499"/>
      <c r="B37" s="502" t="s">
        <v>93</v>
      </c>
      <c r="C37" s="261" t="s">
        <v>127</v>
      </c>
      <c r="D37" s="497">
        <v>99735</v>
      </c>
      <c r="E37" s="497">
        <v>99300</v>
      </c>
      <c r="F37" s="544">
        <v>98192</v>
      </c>
      <c r="G37" s="544">
        <v>98000</v>
      </c>
      <c r="H37" s="498">
        <f t="shared" ref="H37:H47" si="26">ROUND(F37/D37*100,2)</f>
        <v>98.45</v>
      </c>
      <c r="I37" s="498">
        <f t="shared" ref="I37:I47" si="27">ROUND(G37/F37*100,2)</f>
        <v>99.8</v>
      </c>
    </row>
    <row r="38" spans="1:9" s="258" customFormat="1" ht="20.100000000000001" customHeight="1">
      <c r="A38" s="503"/>
      <c r="B38" s="502" t="s">
        <v>85</v>
      </c>
      <c r="C38" s="261" t="s">
        <v>92</v>
      </c>
      <c r="D38" s="504">
        <f>D39/D37*10</f>
        <v>58.219481626309715</v>
      </c>
      <c r="E38" s="504">
        <f>E39/E37*10</f>
        <v>58</v>
      </c>
      <c r="F38" s="546">
        <v>60.5</v>
      </c>
      <c r="G38" s="546">
        <v>60.5</v>
      </c>
      <c r="H38" s="498">
        <f t="shared" si="26"/>
        <v>103.92</v>
      </c>
      <c r="I38" s="498">
        <f t="shared" si="27"/>
        <v>100</v>
      </c>
    </row>
    <row r="39" spans="1:9" s="258" customFormat="1" ht="20.100000000000001" customHeight="1">
      <c r="A39" s="503"/>
      <c r="B39" s="502" t="s">
        <v>86</v>
      </c>
      <c r="C39" s="261" t="s">
        <v>128</v>
      </c>
      <c r="D39" s="379">
        <v>580652</v>
      </c>
      <c r="E39" s="379">
        <v>575940</v>
      </c>
      <c r="F39" s="547">
        <v>594062</v>
      </c>
      <c r="G39" s="547">
        <v>592900</v>
      </c>
      <c r="H39" s="498">
        <f t="shared" si="26"/>
        <v>102.31</v>
      </c>
      <c r="I39" s="498">
        <f t="shared" si="27"/>
        <v>99.8</v>
      </c>
    </row>
    <row r="40" spans="1:9" s="258" customFormat="1" ht="20.100000000000001" customHeight="1">
      <c r="A40" s="503"/>
      <c r="B40" s="500" t="s">
        <v>129</v>
      </c>
      <c r="C40" s="458"/>
      <c r="D40" s="505"/>
      <c r="E40" s="505"/>
      <c r="F40" s="505"/>
      <c r="G40" s="505"/>
      <c r="H40" s="498"/>
      <c r="I40" s="498"/>
    </row>
    <row r="41" spans="1:9" s="258" customFormat="1" ht="20.100000000000001" customHeight="1">
      <c r="A41" s="503"/>
      <c r="B41" s="506" t="s">
        <v>93</v>
      </c>
      <c r="C41" s="261" t="s">
        <v>127</v>
      </c>
      <c r="D41" s="305">
        <v>42675</v>
      </c>
      <c r="E41" s="305">
        <v>43200</v>
      </c>
      <c r="F41" s="305">
        <v>45010</v>
      </c>
      <c r="G41" s="305">
        <v>45100</v>
      </c>
      <c r="H41" s="498">
        <f t="shared" si="26"/>
        <v>105.47</v>
      </c>
      <c r="I41" s="498">
        <f t="shared" si="27"/>
        <v>100.2</v>
      </c>
    </row>
    <row r="42" spans="1:9" s="258" customFormat="1" ht="20.100000000000001" customHeight="1">
      <c r="A42" s="503"/>
      <c r="B42" s="506" t="s">
        <v>85</v>
      </c>
      <c r="C42" s="261" t="s">
        <v>92</v>
      </c>
      <c r="D42" s="307">
        <f>D43/D41*10</f>
        <v>60.742355008787349</v>
      </c>
      <c r="E42" s="307">
        <f>E43/E41*10</f>
        <v>60.599999999999994</v>
      </c>
      <c r="F42" s="307">
        <v>60.8</v>
      </c>
      <c r="G42" s="307">
        <v>60.8</v>
      </c>
      <c r="H42" s="498">
        <f t="shared" si="26"/>
        <v>100.09</v>
      </c>
      <c r="I42" s="498">
        <f t="shared" si="27"/>
        <v>100</v>
      </c>
    </row>
    <row r="43" spans="1:9" s="258" customFormat="1" ht="20.100000000000001" customHeight="1">
      <c r="A43" s="503"/>
      <c r="B43" s="506" t="s">
        <v>86</v>
      </c>
      <c r="C43" s="261" t="s">
        <v>128</v>
      </c>
      <c r="D43" s="305">
        <v>259218</v>
      </c>
      <c r="E43" s="305">
        <v>261792</v>
      </c>
      <c r="F43" s="305">
        <v>273436</v>
      </c>
      <c r="G43" s="305">
        <v>274208</v>
      </c>
      <c r="H43" s="498">
        <f t="shared" si="26"/>
        <v>105.48</v>
      </c>
      <c r="I43" s="498">
        <f t="shared" si="27"/>
        <v>100.28</v>
      </c>
    </row>
    <row r="44" spans="1:9" s="258" customFormat="1" ht="20.100000000000001" customHeight="1">
      <c r="A44" s="503" t="s">
        <v>78</v>
      </c>
      <c r="B44" s="500" t="s">
        <v>130</v>
      </c>
      <c r="C44" s="507"/>
      <c r="D44" s="305"/>
      <c r="E44" s="305"/>
      <c r="F44" s="305"/>
      <c r="G44" s="305"/>
      <c r="H44" s="498"/>
      <c r="I44" s="498"/>
    </row>
    <row r="45" spans="1:9" s="258" customFormat="1" ht="20.100000000000001" customHeight="1">
      <c r="A45" s="503"/>
      <c r="B45" s="506" t="s">
        <v>93</v>
      </c>
      <c r="C45" s="261" t="s">
        <v>127</v>
      </c>
      <c r="D45" s="304">
        <v>10107</v>
      </c>
      <c r="E45" s="304">
        <v>9600</v>
      </c>
      <c r="F45" s="304">
        <v>10092</v>
      </c>
      <c r="G45" s="304">
        <v>10000</v>
      </c>
      <c r="H45" s="498">
        <f t="shared" si="26"/>
        <v>99.85</v>
      </c>
      <c r="I45" s="498">
        <f t="shared" si="27"/>
        <v>99.09</v>
      </c>
    </row>
    <row r="46" spans="1:9" s="258" customFormat="1" ht="20.100000000000001" customHeight="1">
      <c r="A46" s="594"/>
      <c r="B46" s="506" t="s">
        <v>85</v>
      </c>
      <c r="C46" s="261" t="s">
        <v>92</v>
      </c>
      <c r="D46" s="504">
        <f>D47/D45*10</f>
        <v>42.068863164143664</v>
      </c>
      <c r="E46" s="307">
        <f>E47/E45*10</f>
        <v>42.5</v>
      </c>
      <c r="F46" s="504">
        <v>42</v>
      </c>
      <c r="G46" s="307">
        <v>43</v>
      </c>
      <c r="H46" s="498">
        <f t="shared" si="26"/>
        <v>99.84</v>
      </c>
      <c r="I46" s="498">
        <f t="shared" si="27"/>
        <v>102.38</v>
      </c>
    </row>
    <row r="47" spans="1:9" s="258" customFormat="1" ht="20.100000000000001" customHeight="1">
      <c r="A47" s="594"/>
      <c r="B47" s="506" t="s">
        <v>86</v>
      </c>
      <c r="C47" s="261" t="s">
        <v>128</v>
      </c>
      <c r="D47" s="305">
        <v>42519</v>
      </c>
      <c r="E47" s="305">
        <v>40800</v>
      </c>
      <c r="F47" s="305">
        <v>42819</v>
      </c>
      <c r="G47" s="305">
        <v>43000</v>
      </c>
      <c r="H47" s="498">
        <f t="shared" si="26"/>
        <v>100.71</v>
      </c>
      <c r="I47" s="498">
        <f t="shared" si="27"/>
        <v>100.42</v>
      </c>
    </row>
    <row r="48" spans="1:9" s="258" customFormat="1" ht="20.100000000000001" customHeight="1">
      <c r="A48" s="302" t="s">
        <v>91</v>
      </c>
      <c r="B48" s="508" t="s">
        <v>131</v>
      </c>
      <c r="C48" s="302"/>
      <c r="D48" s="477"/>
      <c r="E48" s="477"/>
      <c r="F48" s="477"/>
      <c r="G48" s="477"/>
      <c r="H48" s="477"/>
      <c r="I48" s="477"/>
    </row>
    <row r="49" spans="1:9" s="258" customFormat="1" ht="20.100000000000001" customHeight="1">
      <c r="A49" s="503" t="s">
        <v>78</v>
      </c>
      <c r="B49" s="507" t="s">
        <v>132</v>
      </c>
      <c r="C49" s="503"/>
      <c r="D49" s="477"/>
      <c r="E49" s="477"/>
      <c r="F49" s="477"/>
      <c r="G49" s="477"/>
      <c r="H49" s="477"/>
      <c r="I49" s="509"/>
    </row>
    <row r="50" spans="1:9" s="258" customFormat="1" ht="20.100000000000001" customHeight="1">
      <c r="A50" s="594"/>
      <c r="B50" s="506" t="s">
        <v>93</v>
      </c>
      <c r="C50" s="261" t="s">
        <v>127</v>
      </c>
      <c r="D50" s="510">
        <v>4057</v>
      </c>
      <c r="E50" s="548">
        <v>4000</v>
      </c>
      <c r="F50" s="510">
        <v>3700</v>
      </c>
      <c r="G50" s="548">
        <v>3650</v>
      </c>
      <c r="H50" s="498">
        <f>ROUND(F50/D50*100,2)</f>
        <v>91.2</v>
      </c>
      <c r="I50" s="498">
        <f>ROUND(G50/F50*100,2)</f>
        <v>98.65</v>
      </c>
    </row>
    <row r="51" spans="1:9" s="258" customFormat="1" ht="20.100000000000001" customHeight="1">
      <c r="A51" s="594"/>
      <c r="B51" s="506" t="s">
        <v>85</v>
      </c>
      <c r="C51" s="261" t="s">
        <v>92</v>
      </c>
      <c r="D51" s="504">
        <f>D52/D50*10</f>
        <v>112.95538575301947</v>
      </c>
      <c r="E51" s="549">
        <v>113</v>
      </c>
      <c r="F51" s="504">
        <v>114</v>
      </c>
      <c r="G51" s="549">
        <v>115</v>
      </c>
      <c r="H51" s="498">
        <f>ROUND(F51/D51*100,2)</f>
        <v>100.92</v>
      </c>
      <c r="I51" s="498">
        <f>ROUND(G51/F51*100,2)</f>
        <v>100.88</v>
      </c>
    </row>
    <row r="52" spans="1:9" s="258" customFormat="1" ht="20.100000000000001" customHeight="1">
      <c r="A52" s="594"/>
      <c r="B52" s="506" t="s">
        <v>86</v>
      </c>
      <c r="C52" s="261" t="s">
        <v>128</v>
      </c>
      <c r="D52" s="510">
        <v>45826</v>
      </c>
      <c r="E52" s="548">
        <v>45200</v>
      </c>
      <c r="F52" s="510">
        <v>42180</v>
      </c>
      <c r="G52" s="548">
        <v>41975</v>
      </c>
      <c r="H52" s="498">
        <f>ROUND(F52/D52*100,2)</f>
        <v>92.04</v>
      </c>
      <c r="I52" s="498">
        <f>ROUND(G52/F52*100,2)</f>
        <v>99.51</v>
      </c>
    </row>
    <row r="53" spans="1:9" s="315" customFormat="1" ht="19.5">
      <c r="A53" s="310" t="s">
        <v>78</v>
      </c>
      <c r="B53" s="333" t="s">
        <v>516</v>
      </c>
      <c r="C53" s="310"/>
      <c r="D53" s="312"/>
      <c r="E53" s="312"/>
      <c r="F53" s="312"/>
      <c r="G53" s="312"/>
      <c r="H53" s="313"/>
      <c r="I53" s="314"/>
    </row>
    <row r="54" spans="1:9" s="315" customFormat="1">
      <c r="A54" s="316"/>
      <c r="B54" s="511" t="s">
        <v>267</v>
      </c>
      <c r="C54" s="317" t="s">
        <v>127</v>
      </c>
      <c r="D54" s="305">
        <v>28329</v>
      </c>
      <c r="E54" s="305">
        <v>28300</v>
      </c>
      <c r="F54" s="305">
        <v>29698</v>
      </c>
      <c r="G54" s="305">
        <v>29700</v>
      </c>
      <c r="H54" s="318">
        <f>ROUND(F54/D54*100,2)</f>
        <v>104.83</v>
      </c>
      <c r="I54" s="318">
        <f>ROUND(G54/F54*100,2)</f>
        <v>100.01</v>
      </c>
    </row>
    <row r="55" spans="1:9" s="315" customFormat="1">
      <c r="A55" s="316"/>
      <c r="B55" s="511" t="s">
        <v>268</v>
      </c>
      <c r="C55" s="317" t="s">
        <v>127</v>
      </c>
      <c r="D55" s="305">
        <v>27769</v>
      </c>
      <c r="E55" s="305">
        <f>D55</f>
        <v>27769</v>
      </c>
      <c r="F55" s="305">
        <v>27800</v>
      </c>
      <c r="G55" s="305">
        <v>27900</v>
      </c>
      <c r="H55" s="318">
        <f>ROUND(F55/D55*100,2)</f>
        <v>100.11</v>
      </c>
      <c r="I55" s="318">
        <f>ROUND(G55/F55*100,2)</f>
        <v>100.36</v>
      </c>
    </row>
    <row r="56" spans="1:9" s="315" customFormat="1">
      <c r="A56" s="316"/>
      <c r="B56" s="511" t="s">
        <v>85</v>
      </c>
      <c r="C56" s="317" t="s">
        <v>92</v>
      </c>
      <c r="D56" s="319">
        <f>D57/D55*10</f>
        <v>77.731283085455004</v>
      </c>
      <c r="E56" s="550">
        <f>E57/E55*10</f>
        <v>57.618207353523715</v>
      </c>
      <c r="F56" s="551">
        <v>71.8</v>
      </c>
      <c r="G56" s="550">
        <v>57.3</v>
      </c>
      <c r="H56" s="318">
        <f>ROUND(F56/D56*100,2)</f>
        <v>92.37</v>
      </c>
      <c r="I56" s="318">
        <f>ROUND(G56/F56*100,2)</f>
        <v>79.81</v>
      </c>
    </row>
    <row r="57" spans="1:9" s="315" customFormat="1">
      <c r="A57" s="316"/>
      <c r="B57" s="511" t="s">
        <v>86</v>
      </c>
      <c r="C57" s="317" t="s">
        <v>128</v>
      </c>
      <c r="D57" s="305">
        <v>215852</v>
      </c>
      <c r="E57" s="305">
        <v>160000</v>
      </c>
      <c r="F57" s="305">
        <v>199567</v>
      </c>
      <c r="G57" s="305">
        <v>160000</v>
      </c>
      <c r="H57" s="318">
        <f>ROUND(F57/D57*100,2)</f>
        <v>92.46</v>
      </c>
      <c r="I57" s="318">
        <f>ROUND(G57/F57*100,2)</f>
        <v>80.17</v>
      </c>
    </row>
    <row r="58" spans="1:9" s="315" customFormat="1" ht="19.5">
      <c r="A58" s="316"/>
      <c r="B58" s="333" t="s">
        <v>84</v>
      </c>
      <c r="C58" s="322"/>
      <c r="D58" s="320"/>
      <c r="E58" s="320"/>
      <c r="F58" s="320"/>
      <c r="G58" s="320"/>
      <c r="H58" s="313"/>
      <c r="I58" s="314"/>
    </row>
    <row r="59" spans="1:9" s="315" customFormat="1" ht="19.5">
      <c r="A59" s="310"/>
      <c r="B59" s="333" t="s">
        <v>133</v>
      </c>
      <c r="C59" s="310"/>
      <c r="D59" s="320"/>
      <c r="E59" s="320"/>
      <c r="F59" s="320"/>
      <c r="G59" s="320"/>
      <c r="H59" s="313"/>
      <c r="I59" s="314"/>
    </row>
    <row r="60" spans="1:9" s="315" customFormat="1">
      <c r="A60" s="316"/>
      <c r="B60" s="511" t="s">
        <v>93</v>
      </c>
      <c r="C60" s="317" t="s">
        <v>127</v>
      </c>
      <c r="D60" s="305">
        <v>15200</v>
      </c>
      <c r="E60" s="305">
        <v>15400</v>
      </c>
      <c r="F60" s="305">
        <v>15400</v>
      </c>
      <c r="G60" s="305">
        <v>15600</v>
      </c>
      <c r="H60" s="318">
        <f>ROUND(F60/D60*100,2)</f>
        <v>101.32</v>
      </c>
      <c r="I60" s="318">
        <f>ROUND(G60/F60*100,2)</f>
        <v>101.3</v>
      </c>
    </row>
    <row r="61" spans="1:9" s="315" customFormat="1">
      <c r="A61" s="316"/>
      <c r="B61" s="511" t="s">
        <v>85</v>
      </c>
      <c r="C61" s="317" t="s">
        <v>92</v>
      </c>
      <c r="D61" s="306">
        <f>D62/D60*10</f>
        <v>98.68421052631578</v>
      </c>
      <c r="E61" s="306">
        <f>E62/E60*10</f>
        <v>73.311688311688314</v>
      </c>
      <c r="F61" s="306">
        <v>73.3</v>
      </c>
      <c r="G61" s="306">
        <v>73.3</v>
      </c>
      <c r="H61" s="318">
        <f t="shared" ref="H61:H62" si="28">ROUND(F61/D61*100,2)</f>
        <v>74.28</v>
      </c>
      <c r="I61" s="318">
        <f>ROUND(G61/F61*100,2)</f>
        <v>100</v>
      </c>
    </row>
    <row r="62" spans="1:9" s="315" customFormat="1">
      <c r="A62" s="316"/>
      <c r="B62" s="511" t="s">
        <v>86</v>
      </c>
      <c r="C62" s="317" t="s">
        <v>128</v>
      </c>
      <c r="D62" s="305">
        <v>150000</v>
      </c>
      <c r="E62" s="305">
        <v>112900</v>
      </c>
      <c r="F62" s="305">
        <v>112900</v>
      </c>
      <c r="G62" s="305">
        <v>113880</v>
      </c>
      <c r="H62" s="318">
        <f t="shared" si="28"/>
        <v>75.27</v>
      </c>
      <c r="I62" s="318">
        <f>ROUND(G62/F62*100,2)</f>
        <v>100.87</v>
      </c>
    </row>
    <row r="63" spans="1:9" s="315" customFormat="1" ht="19.5">
      <c r="A63" s="310"/>
      <c r="B63" s="333" t="s">
        <v>134</v>
      </c>
      <c r="C63" s="310"/>
      <c r="D63" s="305"/>
      <c r="E63" s="305"/>
      <c r="F63" s="305"/>
      <c r="G63" s="305"/>
      <c r="H63" s="313"/>
      <c r="I63" s="314"/>
    </row>
    <row r="64" spans="1:9" s="315" customFormat="1">
      <c r="A64" s="316"/>
      <c r="B64" s="511" t="s">
        <v>93</v>
      </c>
      <c r="C64" s="317" t="s">
        <v>127</v>
      </c>
      <c r="D64" s="321">
        <v>6700</v>
      </c>
      <c r="E64" s="321">
        <v>6750</v>
      </c>
      <c r="F64" s="321">
        <v>7700</v>
      </c>
      <c r="G64" s="321">
        <v>7700</v>
      </c>
      <c r="H64" s="318">
        <f>ROUND(F64/D64*100,2)</f>
        <v>114.93</v>
      </c>
      <c r="I64" s="318">
        <f>ROUND(G64/F64*100,2)</f>
        <v>100</v>
      </c>
    </row>
    <row r="65" spans="1:9" s="315" customFormat="1">
      <c r="A65" s="316"/>
      <c r="B65" s="511" t="s">
        <v>85</v>
      </c>
      <c r="C65" s="317" t="s">
        <v>92</v>
      </c>
      <c r="D65" s="306">
        <f>D66/D64*10</f>
        <v>87.768656716417922</v>
      </c>
      <c r="E65" s="306">
        <f>E66/E64*10</f>
        <v>73</v>
      </c>
      <c r="F65" s="306">
        <v>79.3</v>
      </c>
      <c r="G65" s="306">
        <v>75</v>
      </c>
      <c r="H65" s="318">
        <f>ROUND(F65/D65*100,2)</f>
        <v>90.35</v>
      </c>
      <c r="I65" s="318">
        <f>ROUND(G65/F65*100,2)</f>
        <v>94.58</v>
      </c>
    </row>
    <row r="66" spans="1:9" s="315" customFormat="1">
      <c r="A66" s="316"/>
      <c r="B66" s="511" t="s">
        <v>86</v>
      </c>
      <c r="C66" s="317" t="s">
        <v>128</v>
      </c>
      <c r="D66" s="321">
        <v>58805</v>
      </c>
      <c r="E66" s="321">
        <v>49275</v>
      </c>
      <c r="F66" s="321">
        <v>61048</v>
      </c>
      <c r="G66" s="321">
        <v>57750</v>
      </c>
      <c r="H66" s="318">
        <f>ROUND(F66/D66*100,2)</f>
        <v>103.81</v>
      </c>
      <c r="I66" s="318">
        <f>ROUND(G66/F66*100,2)</f>
        <v>94.6</v>
      </c>
    </row>
    <row r="67" spans="1:9" s="315" customFormat="1" ht="39">
      <c r="A67" s="310"/>
      <c r="B67" s="512" t="s">
        <v>480</v>
      </c>
      <c r="C67" s="310"/>
      <c r="D67" s="320"/>
      <c r="E67" s="320"/>
      <c r="F67" s="320"/>
      <c r="G67" s="320"/>
      <c r="H67" s="313"/>
      <c r="I67" s="314"/>
    </row>
    <row r="68" spans="1:9" s="315" customFormat="1">
      <c r="A68" s="322"/>
      <c r="B68" s="511" t="s">
        <v>93</v>
      </c>
      <c r="C68" s="317" t="s">
        <v>127</v>
      </c>
      <c r="D68" s="304">
        <v>519</v>
      </c>
      <c r="E68" s="304">
        <v>539.45000000000005</v>
      </c>
      <c r="F68" s="304">
        <v>555.51</v>
      </c>
      <c r="G68" s="304">
        <v>655</v>
      </c>
      <c r="H68" s="318">
        <f>ROUND(F68/D68*100,2)</f>
        <v>107.03</v>
      </c>
      <c r="I68" s="318">
        <f>ROUND(G68/F68*100,2)</f>
        <v>117.91</v>
      </c>
    </row>
    <row r="69" spans="1:9" s="315" customFormat="1">
      <c r="A69" s="316"/>
      <c r="B69" s="511" t="s">
        <v>85</v>
      </c>
      <c r="C69" s="317" t="s">
        <v>92</v>
      </c>
      <c r="D69" s="323">
        <f>D70/D68*10</f>
        <v>84.778420038535657</v>
      </c>
      <c r="E69" s="323">
        <f>E70/E68*10</f>
        <v>85</v>
      </c>
      <c r="F69" s="323">
        <v>85</v>
      </c>
      <c r="G69" s="323">
        <v>85</v>
      </c>
      <c r="H69" s="318">
        <f>ROUND(F69/D69*100,2)</f>
        <v>100.26</v>
      </c>
      <c r="I69" s="318">
        <f>ROUND(G69/F69*100,2)</f>
        <v>100</v>
      </c>
    </row>
    <row r="70" spans="1:9" s="315" customFormat="1">
      <c r="A70" s="316"/>
      <c r="B70" s="511" t="s">
        <v>86</v>
      </c>
      <c r="C70" s="317" t="s">
        <v>128</v>
      </c>
      <c r="D70" s="305">
        <v>4400</v>
      </c>
      <c r="E70" s="305">
        <f>E68*85/10</f>
        <v>4585.3250000000007</v>
      </c>
      <c r="F70" s="305">
        <v>4722</v>
      </c>
      <c r="G70" s="305">
        <v>5568</v>
      </c>
      <c r="H70" s="318">
        <f>ROUND(F70/D70*100,2)</f>
        <v>107.32</v>
      </c>
      <c r="I70" s="318">
        <f>ROUND(G70/F70*100,2)</f>
        <v>117.92</v>
      </c>
    </row>
    <row r="71" spans="1:9" s="315" customFormat="1" ht="19.5">
      <c r="A71" s="310" t="s">
        <v>78</v>
      </c>
      <c r="B71" s="333" t="s">
        <v>87</v>
      </c>
      <c r="C71" s="310"/>
      <c r="D71" s="312"/>
      <c r="E71" s="312"/>
      <c r="F71" s="312"/>
      <c r="G71" s="312"/>
      <c r="H71" s="313"/>
      <c r="I71" s="314"/>
    </row>
    <row r="72" spans="1:9" s="315" customFormat="1">
      <c r="A72" s="316"/>
      <c r="B72" s="511" t="s">
        <v>267</v>
      </c>
      <c r="C72" s="322" t="s">
        <v>36</v>
      </c>
      <c r="D72" s="304">
        <v>5204</v>
      </c>
      <c r="E72" s="304">
        <v>5060</v>
      </c>
      <c r="F72" s="304">
        <v>4500</v>
      </c>
      <c r="G72" s="304">
        <v>4000</v>
      </c>
      <c r="H72" s="318">
        <f>ROUND(F72/D72*100,2)</f>
        <v>86.47</v>
      </c>
      <c r="I72" s="318">
        <f>ROUND(G72/F72*100,2)</f>
        <v>88.89</v>
      </c>
    </row>
    <row r="73" spans="1:9" s="315" customFormat="1">
      <c r="A73" s="316"/>
      <c r="B73" s="511" t="s">
        <v>268</v>
      </c>
      <c r="C73" s="317" t="s">
        <v>127</v>
      </c>
      <c r="D73" s="312">
        <v>4469</v>
      </c>
      <c r="E73" s="312">
        <v>4400</v>
      </c>
      <c r="F73" s="312">
        <v>4200</v>
      </c>
      <c r="G73" s="312">
        <v>3900</v>
      </c>
      <c r="H73" s="318">
        <f>ROUND(F73/D73*100,2)</f>
        <v>93.98</v>
      </c>
      <c r="I73" s="318">
        <f>ROUND(G73/F73*100,2)</f>
        <v>92.86</v>
      </c>
    </row>
    <row r="74" spans="1:9" s="315" customFormat="1">
      <c r="A74" s="316"/>
      <c r="B74" s="511" t="s">
        <v>85</v>
      </c>
      <c r="C74" s="322" t="s">
        <v>92</v>
      </c>
      <c r="D74" s="323">
        <f>D75/D73*10</f>
        <v>108.35086149026628</v>
      </c>
      <c r="E74" s="323">
        <f>E75/E73*10</f>
        <v>115</v>
      </c>
      <c r="F74" s="323">
        <v>115.1</v>
      </c>
      <c r="G74" s="323">
        <v>116.2</v>
      </c>
      <c r="H74" s="318">
        <f>ROUND(F74/D74*100,2)</f>
        <v>106.23</v>
      </c>
      <c r="I74" s="318">
        <f>ROUND(G74/F74*100,2)</f>
        <v>100.96</v>
      </c>
    </row>
    <row r="75" spans="1:9" s="315" customFormat="1">
      <c r="A75" s="316"/>
      <c r="B75" s="511" t="s">
        <v>86</v>
      </c>
      <c r="C75" s="322" t="s">
        <v>56</v>
      </c>
      <c r="D75" s="304">
        <v>48422</v>
      </c>
      <c r="E75" s="304">
        <v>50600</v>
      </c>
      <c r="F75" s="304">
        <v>48343</v>
      </c>
      <c r="G75" s="304">
        <v>45320</v>
      </c>
      <c r="H75" s="318">
        <f t="shared" ref="H75:H103" si="29">ROUND(F75/D75*100,2)</f>
        <v>99.84</v>
      </c>
      <c r="I75" s="318">
        <f t="shared" ref="I75:I103" si="30">ROUND(G75/F75*100,2)</f>
        <v>93.75</v>
      </c>
    </row>
    <row r="76" spans="1:9" s="315" customFormat="1" ht="19.5">
      <c r="A76" s="310"/>
      <c r="B76" s="333" t="s">
        <v>135</v>
      </c>
      <c r="C76" s="354"/>
      <c r="D76" s="312"/>
      <c r="E76" s="312"/>
      <c r="F76" s="312"/>
      <c r="G76" s="312"/>
      <c r="H76" s="318"/>
      <c r="I76" s="318"/>
    </row>
    <row r="77" spans="1:9" s="315" customFormat="1" ht="19.5">
      <c r="A77" s="310"/>
      <c r="B77" s="513" t="s">
        <v>93</v>
      </c>
      <c r="C77" s="322" t="s">
        <v>36</v>
      </c>
      <c r="D77" s="304">
        <v>2240</v>
      </c>
      <c r="E77" s="304">
        <v>2180</v>
      </c>
      <c r="F77" s="304">
        <v>1900</v>
      </c>
      <c r="G77" s="304">
        <v>1800</v>
      </c>
      <c r="H77" s="318">
        <f t="shared" si="29"/>
        <v>84.82</v>
      </c>
      <c r="I77" s="318">
        <f t="shared" si="30"/>
        <v>94.74</v>
      </c>
    </row>
    <row r="78" spans="1:9" s="315" customFormat="1" ht="19.5">
      <c r="A78" s="310"/>
      <c r="B78" s="513" t="s">
        <v>85</v>
      </c>
      <c r="C78" s="322" t="s">
        <v>92</v>
      </c>
      <c r="D78" s="323">
        <f>D79/D77*10</f>
        <v>92.410714285714292</v>
      </c>
      <c r="E78" s="323">
        <f>E79/E77*10</f>
        <v>100</v>
      </c>
      <c r="F78" s="323">
        <v>100</v>
      </c>
      <c r="G78" s="323">
        <v>100</v>
      </c>
      <c r="H78" s="318">
        <f t="shared" si="29"/>
        <v>108.21</v>
      </c>
      <c r="I78" s="318">
        <f t="shared" si="30"/>
        <v>100</v>
      </c>
    </row>
    <row r="79" spans="1:9" s="315" customFormat="1" ht="19.5">
      <c r="A79" s="310"/>
      <c r="B79" s="513" t="s">
        <v>86</v>
      </c>
      <c r="C79" s="322" t="s">
        <v>56</v>
      </c>
      <c r="D79" s="304">
        <v>20700</v>
      </c>
      <c r="E79" s="304">
        <v>21800</v>
      </c>
      <c r="F79" s="304">
        <v>19000</v>
      </c>
      <c r="G79" s="304">
        <v>18000</v>
      </c>
      <c r="H79" s="318">
        <f t="shared" si="29"/>
        <v>91.79</v>
      </c>
      <c r="I79" s="318">
        <f t="shared" si="30"/>
        <v>94.74</v>
      </c>
    </row>
    <row r="80" spans="1:9" s="315" customFormat="1" ht="19.5">
      <c r="A80" s="310" t="s">
        <v>78</v>
      </c>
      <c r="B80" s="333" t="s">
        <v>191</v>
      </c>
      <c r="C80" s="322"/>
      <c r="D80" s="312"/>
      <c r="E80" s="312"/>
      <c r="F80" s="312"/>
      <c r="G80" s="312"/>
      <c r="H80" s="318"/>
      <c r="I80" s="318"/>
    </row>
    <row r="81" spans="1:9" s="315" customFormat="1">
      <c r="A81" s="316"/>
      <c r="B81" s="511" t="s">
        <v>267</v>
      </c>
      <c r="C81" s="322" t="s">
        <v>36</v>
      </c>
      <c r="D81" s="304">
        <v>5566</v>
      </c>
      <c r="E81" s="304">
        <v>5630</v>
      </c>
      <c r="F81" s="304">
        <v>5669</v>
      </c>
      <c r="G81" s="304">
        <v>5670</v>
      </c>
      <c r="H81" s="318">
        <f t="shared" si="29"/>
        <v>101.85</v>
      </c>
      <c r="I81" s="318">
        <f t="shared" si="30"/>
        <v>100.02</v>
      </c>
    </row>
    <row r="82" spans="1:9" s="315" customFormat="1">
      <c r="A82" s="316"/>
      <c r="B82" s="511" t="s">
        <v>268</v>
      </c>
      <c r="C82" s="317" t="s">
        <v>127</v>
      </c>
      <c r="D82" s="312">
        <v>4370</v>
      </c>
      <c r="E82" s="312">
        <v>4700</v>
      </c>
      <c r="F82" s="312">
        <v>4700</v>
      </c>
      <c r="G82" s="312">
        <v>4800</v>
      </c>
      <c r="H82" s="318">
        <f t="shared" si="29"/>
        <v>107.55</v>
      </c>
      <c r="I82" s="318">
        <f t="shared" si="30"/>
        <v>102.13</v>
      </c>
    </row>
    <row r="83" spans="1:9" s="315" customFormat="1" ht="19.5">
      <c r="A83" s="310"/>
      <c r="B83" s="511" t="s">
        <v>85</v>
      </c>
      <c r="C83" s="322" t="s">
        <v>92</v>
      </c>
      <c r="D83" s="323">
        <f>D84/D82*10</f>
        <v>84.608695652173921</v>
      </c>
      <c r="E83" s="323">
        <f>E84/E82*10</f>
        <v>85.106382978723403</v>
      </c>
      <c r="F83" s="323">
        <v>85.1</v>
      </c>
      <c r="G83" s="323">
        <v>85</v>
      </c>
      <c r="H83" s="318">
        <f t="shared" si="29"/>
        <v>100.58</v>
      </c>
      <c r="I83" s="318">
        <f t="shared" si="30"/>
        <v>99.88</v>
      </c>
    </row>
    <row r="84" spans="1:9" s="315" customFormat="1" ht="19.5">
      <c r="A84" s="310"/>
      <c r="B84" s="511" t="s">
        <v>86</v>
      </c>
      <c r="C84" s="322" t="s">
        <v>56</v>
      </c>
      <c r="D84" s="304">
        <v>36974</v>
      </c>
      <c r="E84" s="304">
        <v>40000</v>
      </c>
      <c r="F84" s="304">
        <v>40000</v>
      </c>
      <c r="G84" s="304">
        <v>40800</v>
      </c>
      <c r="H84" s="318">
        <f t="shared" si="29"/>
        <v>108.18</v>
      </c>
      <c r="I84" s="318">
        <f t="shared" si="30"/>
        <v>102</v>
      </c>
    </row>
    <row r="85" spans="1:9" s="315" customFormat="1" ht="19.5">
      <c r="A85" s="310"/>
      <c r="B85" s="333" t="s">
        <v>274</v>
      </c>
      <c r="C85" s="310"/>
      <c r="D85" s="312"/>
      <c r="E85" s="312"/>
      <c r="F85" s="312"/>
      <c r="G85" s="312"/>
      <c r="H85" s="318"/>
      <c r="I85" s="318"/>
    </row>
    <row r="86" spans="1:9" s="315" customFormat="1">
      <c r="A86" s="316"/>
      <c r="B86" s="511" t="s">
        <v>93</v>
      </c>
      <c r="C86" s="322" t="s">
        <v>36</v>
      </c>
      <c r="D86" s="304">
        <v>2750</v>
      </c>
      <c r="E86" s="304">
        <v>2750</v>
      </c>
      <c r="F86" s="304">
        <v>2750</v>
      </c>
      <c r="G86" s="304">
        <v>2750</v>
      </c>
      <c r="H86" s="318">
        <f t="shared" si="29"/>
        <v>100</v>
      </c>
      <c r="I86" s="318">
        <f t="shared" si="30"/>
        <v>100</v>
      </c>
    </row>
    <row r="87" spans="1:9" s="315" customFormat="1">
      <c r="A87" s="316"/>
      <c r="B87" s="511" t="s">
        <v>85</v>
      </c>
      <c r="C87" s="322" t="s">
        <v>92</v>
      </c>
      <c r="D87" s="323">
        <f>D88/D86*10</f>
        <v>80.145454545454541</v>
      </c>
      <c r="E87" s="323">
        <f>E88/E86*10</f>
        <v>85</v>
      </c>
      <c r="F87" s="323">
        <v>85</v>
      </c>
      <c r="G87" s="323">
        <v>90</v>
      </c>
      <c r="H87" s="318">
        <f t="shared" si="29"/>
        <v>106.06</v>
      </c>
      <c r="I87" s="318">
        <f t="shared" si="30"/>
        <v>105.88</v>
      </c>
    </row>
    <row r="88" spans="1:9" s="315" customFormat="1">
      <c r="A88" s="316"/>
      <c r="B88" s="511" t="s">
        <v>86</v>
      </c>
      <c r="C88" s="322" t="s">
        <v>56</v>
      </c>
      <c r="D88" s="304">
        <v>22040</v>
      </c>
      <c r="E88" s="304">
        <v>23375</v>
      </c>
      <c r="F88" s="304">
        <v>23375</v>
      </c>
      <c r="G88" s="304">
        <v>24750</v>
      </c>
      <c r="H88" s="318">
        <f t="shared" si="29"/>
        <v>106.06</v>
      </c>
      <c r="I88" s="318">
        <f t="shared" si="30"/>
        <v>105.88</v>
      </c>
    </row>
    <row r="89" spans="1:9" s="315" customFormat="1" ht="19.5">
      <c r="A89" s="324" t="s">
        <v>78</v>
      </c>
      <c r="B89" s="514" t="s">
        <v>481</v>
      </c>
      <c r="C89" s="322"/>
      <c r="D89" s="312"/>
      <c r="E89" s="312"/>
      <c r="F89" s="312"/>
      <c r="G89" s="312"/>
      <c r="H89" s="318"/>
      <c r="I89" s="318"/>
    </row>
    <row r="90" spans="1:9" s="315" customFormat="1">
      <c r="A90" s="316"/>
      <c r="B90" s="511" t="s">
        <v>267</v>
      </c>
      <c r="C90" s="322" t="s">
        <v>36</v>
      </c>
      <c r="D90" s="304">
        <v>2050</v>
      </c>
      <c r="E90" s="304">
        <v>2070</v>
      </c>
      <c r="F90" s="304">
        <v>2070</v>
      </c>
      <c r="G90" s="304">
        <v>2080</v>
      </c>
      <c r="H90" s="318">
        <f t="shared" si="29"/>
        <v>100.98</v>
      </c>
      <c r="I90" s="318">
        <f t="shared" si="30"/>
        <v>100.48</v>
      </c>
    </row>
    <row r="91" spans="1:9" s="315" customFormat="1">
      <c r="A91" s="316"/>
      <c r="B91" s="511" t="s">
        <v>268</v>
      </c>
      <c r="C91" s="317" t="s">
        <v>127</v>
      </c>
      <c r="D91" s="312">
        <v>1999</v>
      </c>
      <c r="E91" s="312">
        <v>2030</v>
      </c>
      <c r="F91" s="312">
        <v>2059</v>
      </c>
      <c r="G91" s="312">
        <v>2075</v>
      </c>
      <c r="H91" s="318">
        <f t="shared" si="29"/>
        <v>103</v>
      </c>
      <c r="I91" s="318">
        <f t="shared" si="30"/>
        <v>100.78</v>
      </c>
    </row>
    <row r="92" spans="1:9" s="315" customFormat="1">
      <c r="A92" s="325"/>
      <c r="B92" s="515" t="s">
        <v>85</v>
      </c>
      <c r="C92" s="322" t="s">
        <v>92</v>
      </c>
      <c r="D92" s="323">
        <f>D93/D91*10</f>
        <v>75.387693846923455</v>
      </c>
      <c r="E92" s="323">
        <f>E93/E91*10</f>
        <v>74.384236453201964</v>
      </c>
      <c r="F92" s="323">
        <v>73.3</v>
      </c>
      <c r="G92" s="552">
        <v>80.959999999999994</v>
      </c>
      <c r="H92" s="318">
        <f t="shared" si="29"/>
        <v>97.23</v>
      </c>
      <c r="I92" s="318">
        <f t="shared" si="30"/>
        <v>110.45</v>
      </c>
    </row>
    <row r="93" spans="1:9" s="315" customFormat="1">
      <c r="A93" s="326"/>
      <c r="B93" s="515" t="s">
        <v>86</v>
      </c>
      <c r="C93" s="322" t="s">
        <v>56</v>
      </c>
      <c r="D93" s="304">
        <v>15070</v>
      </c>
      <c r="E93" s="304">
        <v>15100</v>
      </c>
      <c r="F93" s="304">
        <v>15100</v>
      </c>
      <c r="G93" s="304">
        <v>16800</v>
      </c>
      <c r="H93" s="318">
        <f t="shared" si="29"/>
        <v>100.2</v>
      </c>
      <c r="I93" s="318">
        <f t="shared" si="30"/>
        <v>111.26</v>
      </c>
    </row>
    <row r="94" spans="1:9" s="315" customFormat="1">
      <c r="A94" s="316" t="s">
        <v>275</v>
      </c>
      <c r="B94" s="350" t="s">
        <v>276</v>
      </c>
      <c r="C94" s="316"/>
      <c r="D94" s="312"/>
      <c r="E94" s="312"/>
      <c r="F94" s="312"/>
      <c r="G94" s="312"/>
      <c r="H94" s="318"/>
      <c r="I94" s="318"/>
    </row>
    <row r="95" spans="1:9" s="315" customFormat="1" ht="19.5">
      <c r="A95" s="310"/>
      <c r="B95" s="333" t="s">
        <v>277</v>
      </c>
      <c r="C95" s="310"/>
      <c r="D95" s="312"/>
      <c r="E95" s="312"/>
      <c r="F95" s="312"/>
      <c r="G95" s="312"/>
      <c r="H95" s="318"/>
      <c r="I95" s="318"/>
    </row>
    <row r="96" spans="1:9" s="315" customFormat="1" ht="19.5">
      <c r="A96" s="310" t="s">
        <v>78</v>
      </c>
      <c r="B96" s="516" t="s">
        <v>278</v>
      </c>
      <c r="C96" s="310"/>
      <c r="D96" s="311"/>
      <c r="E96" s="312"/>
      <c r="F96" s="311"/>
      <c r="G96" s="312"/>
      <c r="H96" s="318"/>
      <c r="I96" s="318"/>
    </row>
    <row r="97" spans="1:9" s="315" customFormat="1">
      <c r="A97" s="316"/>
      <c r="B97" s="511" t="s">
        <v>93</v>
      </c>
      <c r="C97" s="322" t="s">
        <v>36</v>
      </c>
      <c r="D97" s="304">
        <v>8577</v>
      </c>
      <c r="E97" s="497">
        <v>8000</v>
      </c>
      <c r="F97" s="304">
        <v>8069</v>
      </c>
      <c r="G97" s="497">
        <v>8000</v>
      </c>
      <c r="H97" s="318">
        <f t="shared" si="29"/>
        <v>94.08</v>
      </c>
      <c r="I97" s="318">
        <f t="shared" si="30"/>
        <v>99.14</v>
      </c>
    </row>
    <row r="98" spans="1:9" s="315" customFormat="1">
      <c r="A98" s="316"/>
      <c r="B98" s="511" t="s">
        <v>85</v>
      </c>
      <c r="C98" s="322" t="s">
        <v>92</v>
      </c>
      <c r="D98" s="307">
        <v>26.3</v>
      </c>
      <c r="E98" s="504">
        <f>E99/E97*10</f>
        <v>26.299999999999997</v>
      </c>
      <c r="F98" s="307">
        <v>26.4</v>
      </c>
      <c r="G98" s="504">
        <v>26.5</v>
      </c>
      <c r="H98" s="318">
        <f t="shared" si="29"/>
        <v>100.38</v>
      </c>
      <c r="I98" s="318">
        <f t="shared" si="30"/>
        <v>100.38</v>
      </c>
    </row>
    <row r="99" spans="1:9" s="315" customFormat="1">
      <c r="A99" s="316"/>
      <c r="B99" s="511" t="s">
        <v>86</v>
      </c>
      <c r="C99" s="322" t="s">
        <v>56</v>
      </c>
      <c r="D99" s="304">
        <v>22566</v>
      </c>
      <c r="E99" s="497">
        <v>21040</v>
      </c>
      <c r="F99" s="304">
        <v>21289</v>
      </c>
      <c r="G99" s="497">
        <v>21200</v>
      </c>
      <c r="H99" s="318">
        <f t="shared" si="29"/>
        <v>94.34</v>
      </c>
      <c r="I99" s="318">
        <f t="shared" si="30"/>
        <v>99.58</v>
      </c>
    </row>
    <row r="100" spans="1:9" s="315" customFormat="1" ht="19.5">
      <c r="A100" s="310" t="s">
        <v>78</v>
      </c>
      <c r="B100" s="333" t="s">
        <v>279</v>
      </c>
      <c r="C100" s="322"/>
      <c r="D100" s="311"/>
      <c r="E100" s="312"/>
      <c r="F100" s="311"/>
      <c r="G100" s="312"/>
      <c r="H100" s="318"/>
      <c r="I100" s="318"/>
    </row>
    <row r="101" spans="1:9" s="315" customFormat="1">
      <c r="A101" s="316"/>
      <c r="B101" s="511" t="s">
        <v>93</v>
      </c>
      <c r="C101" s="322" t="s">
        <v>36</v>
      </c>
      <c r="D101" s="304">
        <v>593</v>
      </c>
      <c r="E101" s="304">
        <v>650</v>
      </c>
      <c r="F101" s="304">
        <v>650</v>
      </c>
      <c r="G101" s="304">
        <v>650</v>
      </c>
      <c r="H101" s="318">
        <f t="shared" si="29"/>
        <v>109.61</v>
      </c>
      <c r="I101" s="318">
        <f t="shared" si="30"/>
        <v>100</v>
      </c>
    </row>
    <row r="102" spans="1:9" s="315" customFormat="1">
      <c r="A102" s="316"/>
      <c r="B102" s="511" t="s">
        <v>85</v>
      </c>
      <c r="C102" s="322" t="s">
        <v>92</v>
      </c>
      <c r="D102" s="307">
        <v>20.3</v>
      </c>
      <c r="E102" s="307">
        <f>E103/E101*10</f>
        <v>20.23076923076923</v>
      </c>
      <c r="F102" s="307">
        <f>F103/F101*10</f>
        <v>20.23076923076923</v>
      </c>
      <c r="G102" s="307">
        <f>G103/G101*10</f>
        <v>20.23076923076923</v>
      </c>
      <c r="H102" s="318">
        <f t="shared" si="29"/>
        <v>99.66</v>
      </c>
      <c r="I102" s="318">
        <f t="shared" si="30"/>
        <v>100</v>
      </c>
    </row>
    <row r="103" spans="1:9" s="315" customFormat="1">
      <c r="A103" s="316"/>
      <c r="B103" s="511" t="s">
        <v>86</v>
      </c>
      <c r="C103" s="322" t="s">
        <v>56</v>
      </c>
      <c r="D103" s="304">
        <v>1198</v>
      </c>
      <c r="E103" s="304">
        <v>1315</v>
      </c>
      <c r="F103" s="304">
        <v>1315</v>
      </c>
      <c r="G103" s="304">
        <v>1315</v>
      </c>
      <c r="H103" s="318">
        <f t="shared" si="29"/>
        <v>109.77</v>
      </c>
      <c r="I103" s="318">
        <f t="shared" si="30"/>
        <v>100</v>
      </c>
    </row>
    <row r="104" spans="1:9" s="315" customFormat="1" ht="19.5">
      <c r="A104" s="316"/>
      <c r="B104" s="517" t="s">
        <v>520</v>
      </c>
      <c r="C104" s="322"/>
      <c r="D104" s="313"/>
      <c r="E104" s="313"/>
      <c r="F104" s="313"/>
      <c r="G104" s="313"/>
      <c r="H104" s="328"/>
      <c r="I104" s="328"/>
    </row>
    <row r="105" spans="1:9" s="315" customFormat="1" ht="19.5">
      <c r="A105" s="316" t="s">
        <v>78</v>
      </c>
      <c r="B105" s="514" t="s">
        <v>521</v>
      </c>
      <c r="C105" s="322"/>
      <c r="D105" s="313"/>
      <c r="E105" s="313"/>
      <c r="F105" s="313"/>
      <c r="G105" s="313"/>
      <c r="H105" s="328"/>
      <c r="I105" s="328"/>
    </row>
    <row r="106" spans="1:9" s="315" customFormat="1">
      <c r="A106" s="316"/>
      <c r="B106" s="515" t="s">
        <v>267</v>
      </c>
      <c r="C106" s="322" t="s">
        <v>36</v>
      </c>
      <c r="D106" s="322">
        <v>473</v>
      </c>
      <c r="E106" s="322">
        <v>475</v>
      </c>
      <c r="F106" s="322">
        <v>475</v>
      </c>
      <c r="G106" s="322">
        <v>530</v>
      </c>
      <c r="H106" s="328">
        <f t="shared" ref="H106:H109" si="31">ROUND(F106/D106*100,2)</f>
        <v>100.42</v>
      </c>
      <c r="I106" s="328">
        <f t="shared" ref="I106:I109" si="32">ROUND(G106/F106*100,2)</f>
        <v>111.58</v>
      </c>
    </row>
    <row r="107" spans="1:9" s="315" customFormat="1">
      <c r="A107" s="316"/>
      <c r="B107" s="515" t="s">
        <v>268</v>
      </c>
      <c r="C107" s="322" t="s">
        <v>522</v>
      </c>
      <c r="D107" s="329">
        <v>463</v>
      </c>
      <c r="E107" s="329">
        <v>465</v>
      </c>
      <c r="F107" s="329">
        <v>467</v>
      </c>
      <c r="G107" s="329">
        <v>475</v>
      </c>
      <c r="H107" s="328">
        <f>ROUND(F107/D107*100,2)</f>
        <v>100.86</v>
      </c>
      <c r="I107" s="328">
        <f>ROUND(G107/F107*100,2)</f>
        <v>101.71</v>
      </c>
    </row>
    <row r="108" spans="1:9" s="315" customFormat="1">
      <c r="A108" s="316"/>
      <c r="B108" s="515" t="s">
        <v>85</v>
      </c>
      <c r="C108" s="322" t="s">
        <v>92</v>
      </c>
      <c r="D108" s="323">
        <f>D109/D107*10</f>
        <v>103.15334773218142</v>
      </c>
      <c r="E108" s="323">
        <f>E109/E107*10</f>
        <v>103.2258064516129</v>
      </c>
      <c r="F108" s="323">
        <v>102.8</v>
      </c>
      <c r="G108" s="323">
        <v>110.5</v>
      </c>
      <c r="H108" s="328">
        <f t="shared" si="31"/>
        <v>99.66</v>
      </c>
      <c r="I108" s="328">
        <f t="shared" si="32"/>
        <v>107.49</v>
      </c>
    </row>
    <row r="109" spans="1:9" s="315" customFormat="1">
      <c r="A109" s="316"/>
      <c r="B109" s="515" t="s">
        <v>86</v>
      </c>
      <c r="C109" s="322" t="s">
        <v>56</v>
      </c>
      <c r="D109" s="304">
        <v>4776</v>
      </c>
      <c r="E109" s="304">
        <v>4800</v>
      </c>
      <c r="F109" s="304">
        <v>4800</v>
      </c>
      <c r="G109" s="304">
        <v>5250</v>
      </c>
      <c r="H109" s="328">
        <f t="shared" si="31"/>
        <v>100.5</v>
      </c>
      <c r="I109" s="328">
        <f t="shared" si="32"/>
        <v>109.38</v>
      </c>
    </row>
    <row r="110" spans="1:9" s="258" customFormat="1" ht="20.100000000000001" customHeight="1">
      <c r="A110" s="302" t="s">
        <v>89</v>
      </c>
      <c r="B110" s="330" t="s">
        <v>136</v>
      </c>
      <c r="C110" s="303"/>
      <c r="D110" s="477"/>
      <c r="E110" s="477"/>
      <c r="F110" s="477"/>
      <c r="G110" s="477"/>
      <c r="H110" s="477"/>
      <c r="I110" s="477"/>
    </row>
    <row r="111" spans="1:9" s="315" customFormat="1" ht="19.5">
      <c r="A111" s="332" t="s">
        <v>78</v>
      </c>
      <c r="B111" s="333" t="s">
        <v>482</v>
      </c>
      <c r="C111" s="310"/>
      <c r="D111" s="334"/>
      <c r="E111" s="313"/>
      <c r="F111" s="334"/>
      <c r="G111" s="313"/>
      <c r="H111" s="335"/>
      <c r="I111" s="336"/>
    </row>
    <row r="112" spans="1:9" s="315" customFormat="1">
      <c r="A112" s="337"/>
      <c r="B112" s="511" t="s">
        <v>93</v>
      </c>
      <c r="C112" s="317" t="s">
        <v>127</v>
      </c>
      <c r="D112" s="305">
        <v>25904</v>
      </c>
      <c r="E112" s="305">
        <v>25920</v>
      </c>
      <c r="F112" s="305">
        <v>25920</v>
      </c>
      <c r="G112" s="553">
        <v>26280</v>
      </c>
      <c r="H112" s="318">
        <f t="shared" ref="H112:H160" si="33">ROUND(F112/D112*100,2)</f>
        <v>100.06</v>
      </c>
      <c r="I112" s="318">
        <f t="shared" ref="I112:I160" si="34">ROUND(G112/F112*100,2)</f>
        <v>101.39</v>
      </c>
    </row>
    <row r="113" spans="1:9" s="315" customFormat="1">
      <c r="A113" s="337"/>
      <c r="B113" s="511" t="s">
        <v>85</v>
      </c>
      <c r="C113" s="317" t="s">
        <v>92</v>
      </c>
      <c r="D113" s="307">
        <f>D114/D112*10</f>
        <v>177.26181284743666</v>
      </c>
      <c r="E113" s="307">
        <f>E114/E112*10</f>
        <v>182</v>
      </c>
      <c r="F113" s="307">
        <v>182</v>
      </c>
      <c r="G113" s="554">
        <v>184</v>
      </c>
      <c r="H113" s="318">
        <f t="shared" si="33"/>
        <v>102.67</v>
      </c>
      <c r="I113" s="318">
        <f t="shared" si="34"/>
        <v>101.1</v>
      </c>
    </row>
    <row r="114" spans="1:9" s="315" customFormat="1">
      <c r="A114" s="337"/>
      <c r="B114" s="511" t="s">
        <v>86</v>
      </c>
      <c r="C114" s="317" t="s">
        <v>128</v>
      </c>
      <c r="D114" s="305">
        <v>459179</v>
      </c>
      <c r="E114" s="305">
        <v>471744</v>
      </c>
      <c r="F114" s="305">
        <v>471744</v>
      </c>
      <c r="G114" s="553">
        <v>483552</v>
      </c>
      <c r="H114" s="318">
        <f t="shared" si="33"/>
        <v>102.74</v>
      </c>
      <c r="I114" s="318">
        <f t="shared" si="34"/>
        <v>102.5</v>
      </c>
    </row>
    <row r="115" spans="1:9" s="315" customFormat="1">
      <c r="A115" s="338"/>
      <c r="B115" s="339" t="s">
        <v>32</v>
      </c>
      <c r="C115" s="338"/>
      <c r="D115" s="312"/>
      <c r="E115" s="312"/>
      <c r="F115" s="312"/>
      <c r="G115" s="312"/>
      <c r="H115" s="318"/>
      <c r="I115" s="318"/>
    </row>
    <row r="116" spans="1:9" s="315" customFormat="1" ht="19.5">
      <c r="A116" s="332"/>
      <c r="B116" s="333" t="s">
        <v>483</v>
      </c>
      <c r="C116" s="317"/>
      <c r="D116" s="311"/>
      <c r="E116" s="312"/>
      <c r="F116" s="311"/>
      <c r="G116" s="312"/>
      <c r="H116" s="318"/>
      <c r="I116" s="318"/>
    </row>
    <row r="117" spans="1:9" s="315" customFormat="1">
      <c r="A117" s="337"/>
      <c r="B117" s="511" t="s">
        <v>93</v>
      </c>
      <c r="C117" s="317" t="s">
        <v>127</v>
      </c>
      <c r="D117" s="305">
        <v>2675</v>
      </c>
      <c r="E117" s="305">
        <v>2700</v>
      </c>
      <c r="F117" s="305">
        <v>2720</v>
      </c>
      <c r="G117" s="305">
        <v>2750</v>
      </c>
      <c r="H117" s="318">
        <f t="shared" si="33"/>
        <v>101.68</v>
      </c>
      <c r="I117" s="318">
        <f t="shared" si="34"/>
        <v>101.1</v>
      </c>
    </row>
    <row r="118" spans="1:9" s="315" customFormat="1">
      <c r="A118" s="337"/>
      <c r="B118" s="511" t="s">
        <v>85</v>
      </c>
      <c r="C118" s="317" t="s">
        <v>92</v>
      </c>
      <c r="D118" s="307">
        <f>D119/D117*10</f>
        <v>201.83551401869158</v>
      </c>
      <c r="E118" s="307">
        <f>E119/E117*10</f>
        <v>204</v>
      </c>
      <c r="F118" s="307">
        <v>204</v>
      </c>
      <c r="G118" s="307">
        <v>204</v>
      </c>
      <c r="H118" s="318">
        <f t="shared" si="33"/>
        <v>101.07</v>
      </c>
      <c r="I118" s="318">
        <f t="shared" si="34"/>
        <v>100</v>
      </c>
    </row>
    <row r="119" spans="1:9" s="315" customFormat="1">
      <c r="A119" s="337"/>
      <c r="B119" s="511" t="s">
        <v>86</v>
      </c>
      <c r="C119" s="317" t="s">
        <v>128</v>
      </c>
      <c r="D119" s="304">
        <v>53991</v>
      </c>
      <c r="E119" s="304">
        <v>55080</v>
      </c>
      <c r="F119" s="304">
        <v>55488</v>
      </c>
      <c r="G119" s="304">
        <v>56100</v>
      </c>
      <c r="H119" s="318">
        <f t="shared" si="33"/>
        <v>102.77</v>
      </c>
      <c r="I119" s="318">
        <f t="shared" si="34"/>
        <v>101.1</v>
      </c>
    </row>
    <row r="120" spans="1:9" s="315" customFormat="1" ht="19.5">
      <c r="A120" s="332"/>
      <c r="B120" s="333" t="s">
        <v>484</v>
      </c>
      <c r="C120" s="317"/>
      <c r="D120" s="312"/>
      <c r="E120" s="312"/>
      <c r="F120" s="312"/>
      <c r="G120" s="312"/>
      <c r="H120" s="318"/>
      <c r="I120" s="318"/>
    </row>
    <row r="121" spans="1:9" s="315" customFormat="1">
      <c r="A121" s="337"/>
      <c r="B121" s="511" t="s">
        <v>93</v>
      </c>
      <c r="C121" s="317" t="s">
        <v>127</v>
      </c>
      <c r="D121" s="305">
        <v>11840</v>
      </c>
      <c r="E121" s="305">
        <v>12300</v>
      </c>
      <c r="F121" s="305">
        <v>12400</v>
      </c>
      <c r="G121" s="305">
        <v>12600</v>
      </c>
      <c r="H121" s="318">
        <f t="shared" si="33"/>
        <v>104.73</v>
      </c>
      <c r="I121" s="318">
        <f t="shared" si="34"/>
        <v>101.61</v>
      </c>
    </row>
    <row r="122" spans="1:9" s="315" customFormat="1">
      <c r="A122" s="337"/>
      <c r="B122" s="511" t="s">
        <v>85</v>
      </c>
      <c r="C122" s="317" t="s">
        <v>92</v>
      </c>
      <c r="D122" s="307">
        <f>D123/D121*10</f>
        <v>198.33783783783784</v>
      </c>
      <c r="E122" s="307">
        <v>198</v>
      </c>
      <c r="F122" s="307">
        <v>198</v>
      </c>
      <c r="G122" s="307">
        <v>198</v>
      </c>
      <c r="H122" s="318">
        <f t="shared" si="33"/>
        <v>99.83</v>
      </c>
      <c r="I122" s="318">
        <f t="shared" si="34"/>
        <v>100</v>
      </c>
    </row>
    <row r="123" spans="1:9" s="315" customFormat="1">
      <c r="A123" s="337"/>
      <c r="B123" s="511" t="s">
        <v>86</v>
      </c>
      <c r="C123" s="317" t="s">
        <v>128</v>
      </c>
      <c r="D123" s="304">
        <v>234832</v>
      </c>
      <c r="E123" s="304">
        <f>E121*E122/10</f>
        <v>243540</v>
      </c>
      <c r="F123" s="304">
        <v>245520</v>
      </c>
      <c r="G123" s="304">
        <v>249480</v>
      </c>
      <c r="H123" s="318">
        <f t="shared" si="33"/>
        <v>104.55</v>
      </c>
      <c r="I123" s="318">
        <f t="shared" si="34"/>
        <v>101.61</v>
      </c>
    </row>
    <row r="124" spans="1:9" s="315" customFormat="1" ht="19.5">
      <c r="A124" s="332" t="s">
        <v>78</v>
      </c>
      <c r="B124" s="333" t="s">
        <v>137</v>
      </c>
      <c r="C124" s="310"/>
      <c r="D124" s="312"/>
      <c r="E124" s="312"/>
      <c r="F124" s="312"/>
      <c r="G124" s="312"/>
      <c r="H124" s="318"/>
      <c r="I124" s="318"/>
    </row>
    <row r="125" spans="1:9" s="315" customFormat="1">
      <c r="A125" s="337"/>
      <c r="B125" s="511" t="s">
        <v>93</v>
      </c>
      <c r="C125" s="317" t="s">
        <v>127</v>
      </c>
      <c r="D125" s="304">
        <v>1333</v>
      </c>
      <c r="E125" s="304">
        <v>1350</v>
      </c>
      <c r="F125" s="304">
        <v>1350</v>
      </c>
      <c r="G125" s="304">
        <v>1350</v>
      </c>
      <c r="H125" s="318">
        <f t="shared" si="33"/>
        <v>101.28</v>
      </c>
      <c r="I125" s="318">
        <f t="shared" si="34"/>
        <v>100</v>
      </c>
    </row>
    <row r="126" spans="1:9" s="315" customFormat="1">
      <c r="A126" s="337"/>
      <c r="B126" s="511" t="s">
        <v>85</v>
      </c>
      <c r="C126" s="317" t="s">
        <v>92</v>
      </c>
      <c r="D126" s="307">
        <f>D127/D125*10</f>
        <v>15.806451612903224</v>
      </c>
      <c r="E126" s="307">
        <v>16</v>
      </c>
      <c r="F126" s="307">
        <v>16</v>
      </c>
      <c r="G126" s="307">
        <v>16</v>
      </c>
      <c r="H126" s="318">
        <f t="shared" si="33"/>
        <v>101.22</v>
      </c>
      <c r="I126" s="318">
        <f t="shared" si="34"/>
        <v>100</v>
      </c>
    </row>
    <row r="127" spans="1:9" s="315" customFormat="1">
      <c r="A127" s="337"/>
      <c r="B127" s="511" t="s">
        <v>86</v>
      </c>
      <c r="C127" s="317" t="s">
        <v>128</v>
      </c>
      <c r="D127" s="304">
        <v>2107</v>
      </c>
      <c r="E127" s="304">
        <f>E125*E126/10</f>
        <v>2160</v>
      </c>
      <c r="F127" s="304">
        <f t="shared" ref="F127:G127" si="35">F125*F126/10</f>
        <v>2160</v>
      </c>
      <c r="G127" s="304">
        <f t="shared" si="35"/>
        <v>2160</v>
      </c>
      <c r="H127" s="318">
        <f t="shared" si="33"/>
        <v>102.52</v>
      </c>
      <c r="I127" s="318">
        <f t="shared" si="34"/>
        <v>100</v>
      </c>
    </row>
    <row r="128" spans="1:9" s="315" customFormat="1">
      <c r="A128" s="316">
        <v>2</v>
      </c>
      <c r="B128" s="350" t="s">
        <v>18</v>
      </c>
      <c r="C128" s="322"/>
      <c r="D128" s="312"/>
      <c r="E128" s="312"/>
      <c r="F128" s="312"/>
      <c r="G128" s="312"/>
      <c r="H128" s="313"/>
      <c r="I128" s="314"/>
    </row>
    <row r="129" spans="1:10" s="315" customFormat="1" ht="22.5">
      <c r="A129" s="316"/>
      <c r="B129" s="350" t="s">
        <v>531</v>
      </c>
      <c r="C129" s="322" t="s">
        <v>532</v>
      </c>
      <c r="D129" s="340">
        <v>40</v>
      </c>
      <c r="E129" s="527">
        <v>40</v>
      </c>
      <c r="F129" s="528">
        <v>33</v>
      </c>
      <c r="G129" s="555">
        <v>34</v>
      </c>
      <c r="H129" s="341">
        <f t="shared" ref="H129:H149" si="36">ROUND(F129/D129*100,2)</f>
        <v>82.5</v>
      </c>
      <c r="I129" s="341">
        <f t="shared" ref="I129:I149" si="37">ROUND(G129/F129*100,2)</f>
        <v>103.03</v>
      </c>
    </row>
    <row r="130" spans="1:10" s="315" customFormat="1" ht="22.5">
      <c r="A130" s="316"/>
      <c r="B130" s="350" t="s">
        <v>533</v>
      </c>
      <c r="C130" s="322" t="s">
        <v>532</v>
      </c>
      <c r="D130" s="340">
        <v>125</v>
      </c>
      <c r="E130" s="529">
        <v>135</v>
      </c>
      <c r="F130" s="528">
        <v>120</v>
      </c>
      <c r="G130" s="556">
        <v>122</v>
      </c>
      <c r="H130" s="341">
        <f t="shared" si="36"/>
        <v>96</v>
      </c>
      <c r="I130" s="341">
        <f t="shared" si="37"/>
        <v>101.67</v>
      </c>
    </row>
    <row r="131" spans="1:10" s="315" customFormat="1">
      <c r="A131" s="316"/>
      <c r="B131" s="342" t="s">
        <v>142</v>
      </c>
      <c r="C131" s="322" t="s">
        <v>35</v>
      </c>
      <c r="D131" s="344">
        <v>82</v>
      </c>
      <c r="E131" s="343">
        <v>85</v>
      </c>
      <c r="F131" s="530">
        <v>85</v>
      </c>
      <c r="G131" s="557">
        <v>85</v>
      </c>
      <c r="H131" s="318">
        <f t="shared" si="36"/>
        <v>103.66</v>
      </c>
      <c r="I131" s="318">
        <f t="shared" si="37"/>
        <v>100</v>
      </c>
    </row>
    <row r="132" spans="1:10" s="315" customFormat="1" ht="22.5">
      <c r="A132" s="316"/>
      <c r="B132" s="350" t="s">
        <v>534</v>
      </c>
      <c r="C132" s="322" t="s">
        <v>532</v>
      </c>
      <c r="D132" s="340">
        <v>950</v>
      </c>
      <c r="E132" s="527">
        <v>970</v>
      </c>
      <c r="F132" s="528">
        <v>970</v>
      </c>
      <c r="G132" s="558">
        <v>1000</v>
      </c>
      <c r="H132" s="341">
        <f t="shared" si="36"/>
        <v>102.11</v>
      </c>
      <c r="I132" s="341">
        <f t="shared" si="37"/>
        <v>103.09</v>
      </c>
    </row>
    <row r="133" spans="1:10" s="315" customFormat="1" ht="24" customHeight="1">
      <c r="A133" s="316"/>
      <c r="B133" s="345" t="s">
        <v>143</v>
      </c>
      <c r="C133" s="322" t="s">
        <v>532</v>
      </c>
      <c r="D133" s="347">
        <v>95</v>
      </c>
      <c r="E133" s="531">
        <v>100</v>
      </c>
      <c r="F133" s="416">
        <v>100</v>
      </c>
      <c r="G133" s="559">
        <v>110</v>
      </c>
      <c r="H133" s="318">
        <f t="shared" si="36"/>
        <v>105.26</v>
      </c>
      <c r="I133" s="318">
        <f t="shared" si="37"/>
        <v>110</v>
      </c>
    </row>
    <row r="134" spans="1:10" s="315" customFormat="1">
      <c r="A134" s="316"/>
      <c r="B134" s="345" t="s">
        <v>144</v>
      </c>
      <c r="C134" s="322" t="s">
        <v>35</v>
      </c>
      <c r="D134" s="347">
        <v>70</v>
      </c>
      <c r="E134" s="346">
        <v>70</v>
      </c>
      <c r="F134" s="416">
        <v>70</v>
      </c>
      <c r="G134" s="560">
        <v>72</v>
      </c>
      <c r="H134" s="318">
        <f t="shared" si="36"/>
        <v>100</v>
      </c>
      <c r="I134" s="318">
        <f t="shared" si="37"/>
        <v>102.86</v>
      </c>
    </row>
    <row r="135" spans="1:10" s="315" customFormat="1" ht="22.5">
      <c r="A135" s="316"/>
      <c r="B135" s="345" t="s">
        <v>145</v>
      </c>
      <c r="C135" s="322" t="s">
        <v>532</v>
      </c>
      <c r="D135" s="347">
        <v>1651</v>
      </c>
      <c r="E135" s="531">
        <v>1800</v>
      </c>
      <c r="F135" s="416">
        <v>1835</v>
      </c>
      <c r="G135" s="559">
        <v>1900</v>
      </c>
      <c r="H135" s="318">
        <f t="shared" si="36"/>
        <v>111.14</v>
      </c>
      <c r="I135" s="318">
        <f t="shared" si="37"/>
        <v>103.54</v>
      </c>
    </row>
    <row r="136" spans="1:10" s="315" customFormat="1" ht="22.5">
      <c r="A136" s="316"/>
      <c r="B136" s="350" t="s">
        <v>146</v>
      </c>
      <c r="C136" s="322" t="s">
        <v>535</v>
      </c>
      <c r="D136" s="348">
        <v>20</v>
      </c>
      <c r="E136" s="341">
        <v>20</v>
      </c>
      <c r="F136" s="532">
        <v>20</v>
      </c>
      <c r="G136" s="561">
        <v>20</v>
      </c>
      <c r="H136" s="341">
        <f t="shared" si="36"/>
        <v>100</v>
      </c>
      <c r="I136" s="341">
        <f t="shared" si="37"/>
        <v>100</v>
      </c>
    </row>
    <row r="137" spans="1:10" s="315" customFormat="1" ht="22.5">
      <c r="A137" s="316"/>
      <c r="B137" s="345" t="s">
        <v>19</v>
      </c>
      <c r="C137" s="322" t="s">
        <v>535</v>
      </c>
      <c r="D137" s="349">
        <v>17</v>
      </c>
      <c r="E137" s="323">
        <v>17</v>
      </c>
      <c r="F137" s="533">
        <v>16.5</v>
      </c>
      <c r="G137" s="562">
        <v>17</v>
      </c>
      <c r="H137" s="318">
        <f t="shared" si="36"/>
        <v>97.06</v>
      </c>
      <c r="I137" s="318">
        <f t="shared" si="37"/>
        <v>103.03</v>
      </c>
    </row>
    <row r="138" spans="1:10" s="315" customFormat="1" ht="22.5">
      <c r="A138" s="316"/>
      <c r="B138" s="345" t="s">
        <v>485</v>
      </c>
      <c r="C138" s="322" t="s">
        <v>535</v>
      </c>
      <c r="D138" s="349">
        <v>25</v>
      </c>
      <c r="E138" s="323">
        <v>26</v>
      </c>
      <c r="F138" s="533">
        <v>45</v>
      </c>
      <c r="G138" s="562">
        <v>45</v>
      </c>
      <c r="H138" s="318">
        <f t="shared" si="36"/>
        <v>180</v>
      </c>
      <c r="I138" s="318">
        <f t="shared" si="37"/>
        <v>100</v>
      </c>
    </row>
    <row r="139" spans="1:10" s="315" customFormat="1" ht="22.5">
      <c r="A139" s="316"/>
      <c r="B139" s="350" t="s">
        <v>486</v>
      </c>
      <c r="C139" s="322" t="s">
        <v>532</v>
      </c>
      <c r="D139" s="349">
        <v>30</v>
      </c>
      <c r="E139" s="349">
        <v>32</v>
      </c>
      <c r="F139" s="533">
        <v>28</v>
      </c>
      <c r="G139" s="533">
        <v>30</v>
      </c>
      <c r="H139" s="318">
        <f t="shared" si="36"/>
        <v>93.33</v>
      </c>
      <c r="I139" s="318">
        <f t="shared" si="37"/>
        <v>107.14</v>
      </c>
    </row>
    <row r="140" spans="1:10" s="315" customFormat="1" ht="19.5">
      <c r="A140" s="316" t="s">
        <v>78</v>
      </c>
      <c r="B140" s="333" t="s">
        <v>147</v>
      </c>
      <c r="C140" s="322"/>
      <c r="D140" s="312"/>
      <c r="E140" s="312"/>
      <c r="F140" s="290"/>
      <c r="G140" s="290"/>
      <c r="H140" s="318"/>
      <c r="I140" s="318"/>
    </row>
    <row r="141" spans="1:10" s="315" customFormat="1">
      <c r="A141" s="316" t="s">
        <v>78</v>
      </c>
      <c r="B141" s="350" t="s">
        <v>148</v>
      </c>
      <c r="C141" s="317" t="s">
        <v>149</v>
      </c>
      <c r="D141" s="341">
        <f>SUM(D142:D146)</f>
        <v>281.75000000000006</v>
      </c>
      <c r="E141" s="341">
        <f>SUM(E142:E146)</f>
        <v>229.98</v>
      </c>
      <c r="F141" s="341">
        <f>SUM(F142:F146)</f>
        <v>283.3</v>
      </c>
      <c r="G141" s="341">
        <f>SUM(G142:G146)</f>
        <v>288.55</v>
      </c>
      <c r="H141" s="341">
        <f>ROUND(F141/D141*100,2)</f>
        <v>100.55</v>
      </c>
      <c r="I141" s="341">
        <f>ROUND(G141/F141*100,2)</f>
        <v>101.85</v>
      </c>
      <c r="J141" s="585"/>
    </row>
    <row r="142" spans="1:10" s="315" customFormat="1">
      <c r="A142" s="316"/>
      <c r="B142" s="345" t="s">
        <v>150</v>
      </c>
      <c r="C142" s="317" t="s">
        <v>149</v>
      </c>
      <c r="D142" s="349">
        <v>1.98</v>
      </c>
      <c r="E142" s="349">
        <v>2</v>
      </c>
      <c r="F142" s="533">
        <v>1.6</v>
      </c>
      <c r="G142" s="533">
        <v>1.6</v>
      </c>
      <c r="H142" s="318">
        <f t="shared" si="36"/>
        <v>80.81</v>
      </c>
      <c r="I142" s="318">
        <f>ROUND(G142/F142*100,2)</f>
        <v>100</v>
      </c>
    </row>
    <row r="143" spans="1:10" s="315" customFormat="1">
      <c r="A143" s="316"/>
      <c r="B143" s="345" t="s">
        <v>151</v>
      </c>
      <c r="C143" s="317" t="s">
        <v>149</v>
      </c>
      <c r="D143" s="349">
        <v>5.57</v>
      </c>
      <c r="E143" s="349">
        <v>6.3</v>
      </c>
      <c r="F143" s="533">
        <v>6</v>
      </c>
      <c r="G143" s="533">
        <v>6.2</v>
      </c>
      <c r="H143" s="318">
        <f t="shared" si="36"/>
        <v>107.72</v>
      </c>
      <c r="I143" s="318">
        <f>ROUND(G143/F143*100,2)</f>
        <v>103.33</v>
      </c>
    </row>
    <row r="144" spans="1:10" s="315" customFormat="1">
      <c r="A144" s="316"/>
      <c r="B144" s="345" t="s">
        <v>152</v>
      </c>
      <c r="C144" s="317" t="s">
        <v>149</v>
      </c>
      <c r="D144" s="349">
        <v>175.38</v>
      </c>
      <c r="E144" s="349">
        <v>165</v>
      </c>
      <c r="F144" s="533">
        <v>177</v>
      </c>
      <c r="G144" s="533">
        <v>182</v>
      </c>
      <c r="H144" s="318">
        <f t="shared" si="36"/>
        <v>100.92</v>
      </c>
      <c r="I144" s="318">
        <f>ROUND(G144/F144*100,2)</f>
        <v>102.82</v>
      </c>
    </row>
    <row r="145" spans="1:9" s="315" customFormat="1">
      <c r="A145" s="316"/>
      <c r="B145" s="345" t="s">
        <v>153</v>
      </c>
      <c r="C145" s="317" t="s">
        <v>149</v>
      </c>
      <c r="D145" s="349">
        <v>98.4</v>
      </c>
      <c r="E145" s="349">
        <v>56.23</v>
      </c>
      <c r="F145" s="533">
        <v>98</v>
      </c>
      <c r="G145" s="533">
        <v>98</v>
      </c>
      <c r="H145" s="318">
        <f t="shared" si="36"/>
        <v>99.59</v>
      </c>
      <c r="I145" s="318">
        <f>ROUND(G145/F145*100,2)</f>
        <v>100</v>
      </c>
    </row>
    <row r="146" spans="1:9" s="315" customFormat="1">
      <c r="A146" s="316"/>
      <c r="B146" s="345" t="s">
        <v>523</v>
      </c>
      <c r="C146" s="317" t="s">
        <v>149</v>
      </c>
      <c r="D146" s="349">
        <v>0.42</v>
      </c>
      <c r="E146" s="349">
        <v>0.45</v>
      </c>
      <c r="F146" s="533">
        <v>0.7</v>
      </c>
      <c r="G146" s="533">
        <v>0.75</v>
      </c>
      <c r="H146" s="318">
        <f t="shared" si="36"/>
        <v>166.67</v>
      </c>
      <c r="I146" s="318">
        <f t="shared" si="37"/>
        <v>107.14</v>
      </c>
    </row>
    <row r="147" spans="1:9" s="351" customFormat="1" ht="18" customHeight="1">
      <c r="A147" s="316" t="s">
        <v>78</v>
      </c>
      <c r="B147" s="350" t="s">
        <v>154</v>
      </c>
      <c r="C147" s="322" t="s">
        <v>536</v>
      </c>
      <c r="D147" s="327">
        <v>334</v>
      </c>
      <c r="E147" s="534">
        <v>236</v>
      </c>
      <c r="F147" s="417">
        <v>340</v>
      </c>
      <c r="G147" s="563">
        <v>350</v>
      </c>
      <c r="H147" s="318">
        <f t="shared" si="36"/>
        <v>101.8</v>
      </c>
      <c r="I147" s="318">
        <f t="shared" si="37"/>
        <v>102.94</v>
      </c>
    </row>
    <row r="148" spans="1:9" s="351" customFormat="1" ht="18" customHeight="1">
      <c r="A148" s="316"/>
      <c r="B148" s="350" t="s">
        <v>487</v>
      </c>
      <c r="C148" s="322" t="s">
        <v>517</v>
      </c>
      <c r="D148" s="318">
        <v>73</v>
      </c>
      <c r="E148" s="318">
        <v>75</v>
      </c>
      <c r="F148" s="498">
        <v>75</v>
      </c>
      <c r="G148" s="498">
        <v>76</v>
      </c>
      <c r="H148" s="318">
        <f t="shared" si="36"/>
        <v>102.74</v>
      </c>
      <c r="I148" s="318">
        <f t="shared" si="37"/>
        <v>101.33</v>
      </c>
    </row>
    <row r="149" spans="1:9" s="352" customFormat="1">
      <c r="A149" s="316" t="s">
        <v>78</v>
      </c>
      <c r="B149" s="350" t="s">
        <v>155</v>
      </c>
      <c r="C149" s="317" t="s">
        <v>56</v>
      </c>
      <c r="D149" s="347">
        <v>540</v>
      </c>
      <c r="E149" s="346">
        <v>560</v>
      </c>
      <c r="F149" s="563">
        <v>560</v>
      </c>
      <c r="G149" s="560">
        <v>570</v>
      </c>
      <c r="H149" s="318">
        <f t="shared" si="36"/>
        <v>103.7</v>
      </c>
      <c r="I149" s="318">
        <f t="shared" si="37"/>
        <v>101.79</v>
      </c>
    </row>
    <row r="150" spans="1:9" s="315" customFormat="1">
      <c r="A150" s="316">
        <v>3</v>
      </c>
      <c r="B150" s="350" t="s">
        <v>10</v>
      </c>
      <c r="C150" s="316"/>
      <c r="D150" s="312"/>
      <c r="E150" s="312"/>
      <c r="F150" s="564"/>
      <c r="G150" s="312"/>
      <c r="H150" s="318"/>
      <c r="I150" s="318"/>
    </row>
    <row r="151" spans="1:9" s="315" customFormat="1">
      <c r="A151" s="316"/>
      <c r="B151" s="345" t="s">
        <v>138</v>
      </c>
      <c r="C151" s="322" t="s">
        <v>36</v>
      </c>
      <c r="D151" s="327">
        <v>9000</v>
      </c>
      <c r="E151" s="327">
        <v>7200</v>
      </c>
      <c r="F151" s="327">
        <f>F153+F154</f>
        <v>9088</v>
      </c>
      <c r="G151" s="327">
        <f>G153+G154</f>
        <v>7600</v>
      </c>
      <c r="H151" s="318">
        <f t="shared" si="33"/>
        <v>100.98</v>
      </c>
      <c r="I151" s="318">
        <f t="shared" si="34"/>
        <v>83.63</v>
      </c>
    </row>
    <row r="152" spans="1:9" s="315" customFormat="1">
      <c r="A152" s="316"/>
      <c r="B152" s="339" t="s">
        <v>32</v>
      </c>
      <c r="C152" s="322"/>
      <c r="D152" s="327"/>
      <c r="E152" s="327"/>
      <c r="F152" s="327"/>
      <c r="G152" s="327"/>
      <c r="H152" s="318"/>
      <c r="I152" s="318"/>
    </row>
    <row r="153" spans="1:9" s="315" customFormat="1">
      <c r="A153" s="316"/>
      <c r="B153" s="339" t="s">
        <v>11</v>
      </c>
      <c r="C153" s="322" t="s">
        <v>36</v>
      </c>
      <c r="D153" s="349">
        <v>58.7</v>
      </c>
      <c r="E153" s="327">
        <v>50</v>
      </c>
      <c r="F153" s="349">
        <v>88</v>
      </c>
      <c r="G153" s="327">
        <v>80</v>
      </c>
      <c r="H153" s="318">
        <f t="shared" si="33"/>
        <v>149.91</v>
      </c>
      <c r="I153" s="318">
        <f t="shared" si="34"/>
        <v>90.91</v>
      </c>
    </row>
    <row r="154" spans="1:9" s="353" customFormat="1">
      <c r="A154" s="316"/>
      <c r="B154" s="339" t="s">
        <v>12</v>
      </c>
      <c r="C154" s="322" t="s">
        <v>36</v>
      </c>
      <c r="D154" s="349">
        <f>9000-58.7</f>
        <v>8941.2999999999993</v>
      </c>
      <c r="E154" s="327">
        <v>7150</v>
      </c>
      <c r="F154" s="349">
        <v>9000</v>
      </c>
      <c r="G154" s="327">
        <v>7520</v>
      </c>
      <c r="H154" s="318">
        <f t="shared" si="33"/>
        <v>100.66</v>
      </c>
      <c r="I154" s="318">
        <f t="shared" si="34"/>
        <v>83.56</v>
      </c>
    </row>
    <row r="155" spans="1:9" s="315" customFormat="1">
      <c r="A155" s="316"/>
      <c r="B155" s="345" t="s">
        <v>139</v>
      </c>
      <c r="C155" s="322" t="s">
        <v>36</v>
      </c>
      <c r="D155" s="327">
        <v>160696</v>
      </c>
      <c r="E155" s="327">
        <v>160000</v>
      </c>
      <c r="F155" s="327">
        <v>160000</v>
      </c>
      <c r="G155" s="327">
        <v>160000</v>
      </c>
      <c r="H155" s="318">
        <f t="shared" si="33"/>
        <v>99.57</v>
      </c>
      <c r="I155" s="318">
        <f t="shared" si="34"/>
        <v>100</v>
      </c>
    </row>
    <row r="156" spans="1:9" s="315" customFormat="1">
      <c r="A156" s="316"/>
      <c r="B156" s="345" t="s">
        <v>537</v>
      </c>
      <c r="C156" s="354" t="s">
        <v>36</v>
      </c>
      <c r="D156" s="327">
        <v>32279</v>
      </c>
      <c r="E156" s="327">
        <v>31500</v>
      </c>
      <c r="F156" s="327">
        <v>31500</v>
      </c>
      <c r="G156" s="327">
        <v>31500</v>
      </c>
      <c r="H156" s="318">
        <f t="shared" si="33"/>
        <v>97.59</v>
      </c>
      <c r="I156" s="318">
        <f t="shared" si="34"/>
        <v>100</v>
      </c>
    </row>
    <row r="157" spans="1:9" s="315" customFormat="1" ht="39" customHeight="1">
      <c r="A157" s="316"/>
      <c r="B157" s="413" t="s">
        <v>538</v>
      </c>
      <c r="C157" s="322" t="s">
        <v>518</v>
      </c>
      <c r="D157" s="327">
        <v>5003.7460000000001</v>
      </c>
      <c r="E157" s="327">
        <v>6100</v>
      </c>
      <c r="F157" s="327">
        <v>6100</v>
      </c>
      <c r="G157" s="327">
        <v>6100</v>
      </c>
      <c r="H157" s="318">
        <v>148.04</v>
      </c>
      <c r="I157" s="318">
        <v>121.91</v>
      </c>
    </row>
    <row r="158" spans="1:9" s="315" customFormat="1" ht="27" customHeight="1">
      <c r="A158" s="316"/>
      <c r="B158" s="345" t="s">
        <v>140</v>
      </c>
      <c r="C158" s="322" t="s">
        <v>539</v>
      </c>
      <c r="D158" s="327">
        <v>950</v>
      </c>
      <c r="E158" s="327">
        <v>900</v>
      </c>
      <c r="F158" s="327">
        <v>1000</v>
      </c>
      <c r="G158" s="327">
        <v>1000</v>
      </c>
      <c r="H158" s="318">
        <f t="shared" si="33"/>
        <v>105.26</v>
      </c>
      <c r="I158" s="318">
        <f t="shared" si="34"/>
        <v>100</v>
      </c>
    </row>
    <row r="159" spans="1:9" s="315" customFormat="1" ht="27" customHeight="1">
      <c r="A159" s="316"/>
      <c r="B159" s="345" t="s">
        <v>141</v>
      </c>
      <c r="C159" s="322" t="s">
        <v>539</v>
      </c>
      <c r="D159" s="327">
        <v>950</v>
      </c>
      <c r="E159" s="327">
        <v>900</v>
      </c>
      <c r="F159" s="327">
        <v>1000</v>
      </c>
      <c r="G159" s="327">
        <v>1000</v>
      </c>
      <c r="H159" s="318">
        <f t="shared" si="33"/>
        <v>105.26</v>
      </c>
      <c r="I159" s="318">
        <f t="shared" si="34"/>
        <v>100</v>
      </c>
    </row>
    <row r="160" spans="1:9" s="315" customFormat="1" ht="27" customHeight="1">
      <c r="A160" s="310"/>
      <c r="B160" s="345" t="s">
        <v>350</v>
      </c>
      <c r="C160" s="310" t="s">
        <v>35</v>
      </c>
      <c r="D160" s="349">
        <v>38</v>
      </c>
      <c r="E160" s="349">
        <v>38</v>
      </c>
      <c r="F160" s="349">
        <v>38</v>
      </c>
      <c r="G160" s="349">
        <v>37.799999999999997</v>
      </c>
      <c r="H160" s="318">
        <f t="shared" si="33"/>
        <v>100</v>
      </c>
      <c r="I160" s="318">
        <f t="shared" si="34"/>
        <v>99.47</v>
      </c>
    </row>
    <row r="161" spans="1:9" s="352" customFormat="1" ht="24" customHeight="1">
      <c r="A161" s="316">
        <v>4</v>
      </c>
      <c r="B161" s="350" t="s">
        <v>20</v>
      </c>
      <c r="C161" s="322"/>
      <c r="D161" s="355"/>
      <c r="E161" s="355"/>
      <c r="F161" s="355"/>
      <c r="G161" s="355"/>
      <c r="H161" s="318"/>
      <c r="I161" s="318"/>
    </row>
    <row r="162" spans="1:9" s="315" customFormat="1" ht="23.25" customHeight="1">
      <c r="A162" s="316"/>
      <c r="B162" s="518" t="s">
        <v>156</v>
      </c>
      <c r="C162" s="322" t="s">
        <v>36</v>
      </c>
      <c r="D162" s="355">
        <v>12410</v>
      </c>
      <c r="E162" s="355">
        <v>12200</v>
      </c>
      <c r="F162" s="355">
        <v>12200</v>
      </c>
      <c r="G162" s="355">
        <v>12000</v>
      </c>
      <c r="H162" s="341">
        <f t="shared" ref="H162:H175" si="38">ROUND(F162/D162*100,2)</f>
        <v>98.31</v>
      </c>
      <c r="I162" s="341">
        <f t="shared" ref="I162:I175" si="39">ROUND(G162/F162*100,2)</f>
        <v>98.36</v>
      </c>
    </row>
    <row r="163" spans="1:9" s="352" customFormat="1" ht="24" customHeight="1">
      <c r="A163" s="316"/>
      <c r="B163" s="345" t="s">
        <v>21</v>
      </c>
      <c r="C163" s="322" t="s">
        <v>36</v>
      </c>
      <c r="D163" s="312">
        <v>5920</v>
      </c>
      <c r="E163" s="312">
        <v>6000</v>
      </c>
      <c r="F163" s="312">
        <v>6000</v>
      </c>
      <c r="G163" s="312">
        <v>6050</v>
      </c>
      <c r="H163" s="318">
        <f t="shared" si="38"/>
        <v>101.35</v>
      </c>
      <c r="I163" s="318">
        <f t="shared" si="39"/>
        <v>100.83</v>
      </c>
    </row>
    <row r="164" spans="1:9" s="315" customFormat="1" ht="21" customHeight="1">
      <c r="A164" s="316"/>
      <c r="B164" s="345" t="s">
        <v>22</v>
      </c>
      <c r="C164" s="322" t="s">
        <v>36</v>
      </c>
      <c r="D164" s="312">
        <v>1700</v>
      </c>
      <c r="E164" s="312">
        <v>1750</v>
      </c>
      <c r="F164" s="312">
        <v>1780</v>
      </c>
      <c r="G164" s="312">
        <v>1850</v>
      </c>
      <c r="H164" s="318">
        <f t="shared" si="38"/>
        <v>104.71</v>
      </c>
      <c r="I164" s="318">
        <f t="shared" si="39"/>
        <v>103.93</v>
      </c>
    </row>
    <row r="165" spans="1:9" s="315" customFormat="1" ht="26.25" customHeight="1">
      <c r="A165" s="310"/>
      <c r="B165" s="339" t="s">
        <v>58</v>
      </c>
      <c r="C165" s="354" t="s">
        <v>36</v>
      </c>
      <c r="D165" s="312">
        <f>D162-30</f>
        <v>12380</v>
      </c>
      <c r="E165" s="312">
        <f>E162-30</f>
        <v>12170</v>
      </c>
      <c r="F165" s="312">
        <f>F162-30</f>
        <v>12170</v>
      </c>
      <c r="G165" s="312">
        <f>G162-30</f>
        <v>11970</v>
      </c>
      <c r="H165" s="318">
        <f t="shared" si="38"/>
        <v>98.3</v>
      </c>
      <c r="I165" s="318">
        <f t="shared" si="39"/>
        <v>98.36</v>
      </c>
    </row>
    <row r="166" spans="1:9" s="315" customFormat="1" ht="26.25" customHeight="1">
      <c r="A166" s="337"/>
      <c r="B166" s="518" t="s">
        <v>157</v>
      </c>
      <c r="C166" s="317" t="s">
        <v>56</v>
      </c>
      <c r="D166" s="355">
        <v>50350</v>
      </c>
      <c r="E166" s="355">
        <v>51500</v>
      </c>
      <c r="F166" s="355">
        <v>51750</v>
      </c>
      <c r="G166" s="355">
        <v>53000</v>
      </c>
      <c r="H166" s="341">
        <f t="shared" si="38"/>
        <v>102.78</v>
      </c>
      <c r="I166" s="341">
        <f t="shared" si="39"/>
        <v>102.42</v>
      </c>
    </row>
    <row r="167" spans="1:9" s="352" customFormat="1" ht="24" customHeight="1">
      <c r="A167" s="316"/>
      <c r="B167" s="345" t="s">
        <v>73</v>
      </c>
      <c r="C167" s="317" t="s">
        <v>56</v>
      </c>
      <c r="D167" s="312">
        <v>47000</v>
      </c>
      <c r="E167" s="312">
        <v>48000</v>
      </c>
      <c r="F167" s="312">
        <v>48250</v>
      </c>
      <c r="G167" s="312">
        <v>49500</v>
      </c>
      <c r="H167" s="318">
        <f t="shared" si="38"/>
        <v>102.66</v>
      </c>
      <c r="I167" s="318">
        <f t="shared" si="39"/>
        <v>102.59</v>
      </c>
    </row>
    <row r="168" spans="1:9" s="315" customFormat="1" ht="24.75" customHeight="1">
      <c r="A168" s="316"/>
      <c r="B168" s="345" t="s">
        <v>72</v>
      </c>
      <c r="C168" s="317" t="s">
        <v>56</v>
      </c>
      <c r="D168" s="312">
        <f>D166-D167</f>
        <v>3350</v>
      </c>
      <c r="E168" s="312">
        <f>E166-E167</f>
        <v>3500</v>
      </c>
      <c r="F168" s="312">
        <v>3500</v>
      </c>
      <c r="G168" s="312">
        <v>3500</v>
      </c>
      <c r="H168" s="318">
        <f t="shared" si="38"/>
        <v>104.48</v>
      </c>
      <c r="I168" s="318">
        <f t="shared" si="39"/>
        <v>100</v>
      </c>
    </row>
    <row r="169" spans="1:9" s="357" customFormat="1" ht="27.75" customHeight="1">
      <c r="A169" s="356">
        <v>5</v>
      </c>
      <c r="B169" s="350" t="s">
        <v>94</v>
      </c>
      <c r="C169" s="337"/>
      <c r="D169" s="355"/>
      <c r="E169" s="312"/>
      <c r="F169" s="355"/>
      <c r="G169" s="312"/>
      <c r="H169" s="318"/>
      <c r="I169" s="318"/>
    </row>
    <row r="170" spans="1:9" s="315" customFormat="1" ht="30.75" customHeight="1">
      <c r="A170" s="316"/>
      <c r="B170" s="511" t="s">
        <v>158</v>
      </c>
      <c r="C170" s="317" t="s">
        <v>35</v>
      </c>
      <c r="D170" s="318">
        <v>98.5</v>
      </c>
      <c r="E170" s="318">
        <v>99</v>
      </c>
      <c r="F170" s="318">
        <v>99.5</v>
      </c>
      <c r="G170" s="318">
        <v>100</v>
      </c>
      <c r="H170" s="318">
        <f t="shared" si="38"/>
        <v>101.02</v>
      </c>
      <c r="I170" s="318">
        <f t="shared" si="39"/>
        <v>100.5</v>
      </c>
    </row>
    <row r="171" spans="1:9" s="315" customFormat="1" ht="48" customHeight="1">
      <c r="A171" s="316"/>
      <c r="B171" s="358" t="s">
        <v>583</v>
      </c>
      <c r="C171" s="317" t="s">
        <v>35</v>
      </c>
      <c r="D171" s="565">
        <v>54.81</v>
      </c>
      <c r="E171" s="318">
        <v>56</v>
      </c>
      <c r="F171" s="318">
        <v>56</v>
      </c>
      <c r="G171" s="318">
        <v>57.5</v>
      </c>
      <c r="H171" s="318">
        <f t="shared" si="38"/>
        <v>102.17</v>
      </c>
      <c r="I171" s="318">
        <f t="shared" si="39"/>
        <v>102.68</v>
      </c>
    </row>
    <row r="172" spans="1:9" s="315" customFormat="1" ht="44.25" customHeight="1">
      <c r="A172" s="316"/>
      <c r="B172" s="358" t="s">
        <v>488</v>
      </c>
      <c r="C172" s="317" t="s">
        <v>489</v>
      </c>
      <c r="D172" s="312">
        <v>155</v>
      </c>
      <c r="E172" s="290">
        <v>180</v>
      </c>
      <c r="F172" s="312">
        <v>180</v>
      </c>
      <c r="G172" s="290">
        <v>205</v>
      </c>
      <c r="H172" s="318">
        <f>ROUND(F172/D172*100,2)</f>
        <v>116.13</v>
      </c>
      <c r="I172" s="318">
        <f>ROUND(G172/F172*100,2)</f>
        <v>113.89</v>
      </c>
    </row>
    <row r="173" spans="1:9" s="315" customFormat="1" ht="27" customHeight="1">
      <c r="A173" s="316"/>
      <c r="B173" s="342" t="s">
        <v>95</v>
      </c>
      <c r="C173" s="317" t="s">
        <v>83</v>
      </c>
      <c r="D173" s="318">
        <v>16.8</v>
      </c>
      <c r="E173" s="318">
        <v>17.100000000000001</v>
      </c>
      <c r="F173" s="318">
        <v>17.100000000000001</v>
      </c>
      <c r="G173" s="318">
        <v>17.399999999999999</v>
      </c>
      <c r="H173" s="318">
        <f t="shared" si="38"/>
        <v>101.79</v>
      </c>
      <c r="I173" s="318">
        <f t="shared" si="39"/>
        <v>101.75</v>
      </c>
    </row>
    <row r="174" spans="1:9" s="315" customFormat="1" ht="28.5" customHeight="1">
      <c r="A174" s="316"/>
      <c r="B174" s="511" t="s">
        <v>159</v>
      </c>
      <c r="C174" s="317" t="s">
        <v>25</v>
      </c>
      <c r="D174" s="346">
        <v>138</v>
      </c>
      <c r="E174" s="346">
        <v>147</v>
      </c>
      <c r="F174" s="346">
        <v>145</v>
      </c>
      <c r="G174" s="346">
        <v>154</v>
      </c>
      <c r="H174" s="318">
        <f t="shared" si="38"/>
        <v>105.07</v>
      </c>
      <c r="I174" s="318">
        <f t="shared" si="39"/>
        <v>106.21</v>
      </c>
    </row>
    <row r="175" spans="1:9" s="315" customFormat="1" ht="34.5" customHeight="1">
      <c r="A175" s="316"/>
      <c r="B175" s="511" t="s">
        <v>96</v>
      </c>
      <c r="C175" s="317" t="s">
        <v>35</v>
      </c>
      <c r="D175" s="343">
        <f>D174/184*100</f>
        <v>75</v>
      </c>
      <c r="E175" s="343">
        <f>E174/184*100</f>
        <v>79.891304347826093</v>
      </c>
      <c r="F175" s="343">
        <v>79.900000000000006</v>
      </c>
      <c r="G175" s="343">
        <v>84.6</v>
      </c>
      <c r="H175" s="318">
        <f t="shared" si="38"/>
        <v>106.53</v>
      </c>
      <c r="I175" s="318">
        <f t="shared" si="39"/>
        <v>105.88</v>
      </c>
    </row>
    <row r="176" spans="1:9" ht="28.5" customHeight="1">
      <c r="A176" s="262" t="s">
        <v>53</v>
      </c>
      <c r="B176" s="359" t="s">
        <v>81</v>
      </c>
      <c r="C176" s="360"/>
      <c r="D176" s="361"/>
      <c r="E176" s="361"/>
      <c r="F176" s="361"/>
      <c r="G176" s="361"/>
      <c r="H176" s="361"/>
      <c r="I176" s="360"/>
    </row>
    <row r="177" spans="1:12" s="287" customFormat="1" ht="22.5" customHeight="1">
      <c r="A177" s="593">
        <v>1</v>
      </c>
      <c r="B177" s="362" t="s">
        <v>160</v>
      </c>
      <c r="C177" s="283" t="s">
        <v>5</v>
      </c>
      <c r="D177" s="363">
        <f t="shared" ref="D177:E177" si="40">D178+D179+D180</f>
        <v>283087.88398479158</v>
      </c>
      <c r="E177" s="363">
        <f t="shared" si="40"/>
        <v>340999.6875</v>
      </c>
      <c r="F177" s="363">
        <f t="shared" ref="F177:G177" si="41">F178+F179+F180</f>
        <v>356931.891</v>
      </c>
      <c r="G177" s="363">
        <f t="shared" si="41"/>
        <v>440060</v>
      </c>
      <c r="H177" s="286">
        <f t="shared" ref="H177:H179" si="42">F177/D177*100</f>
        <v>126.0851880962788</v>
      </c>
      <c r="I177" s="286">
        <f t="shared" ref="I177:I179" si="43">G177/F177*100</f>
        <v>123.28962782426186</v>
      </c>
    </row>
    <row r="178" spans="1:12" ht="21" customHeight="1">
      <c r="A178" s="593"/>
      <c r="B178" s="276" t="s">
        <v>182</v>
      </c>
      <c r="C178" s="273" t="s">
        <v>5</v>
      </c>
      <c r="D178" s="291">
        <f t="shared" ref="D178:E178" si="44">D187+D202</f>
        <v>4852.0140000000001</v>
      </c>
      <c r="E178" s="291">
        <f t="shared" si="44"/>
        <v>5155</v>
      </c>
      <c r="F178" s="291">
        <f t="shared" ref="F178:G178" si="45">F187+F202</f>
        <v>5155</v>
      </c>
      <c r="G178" s="291">
        <f t="shared" si="45"/>
        <v>5560</v>
      </c>
      <c r="H178" s="275">
        <f t="shared" si="42"/>
        <v>106.2445409267162</v>
      </c>
      <c r="I178" s="275">
        <f t="shared" si="43"/>
        <v>107.8564500484966</v>
      </c>
    </row>
    <row r="179" spans="1:12" ht="21" customHeight="1">
      <c r="A179" s="593"/>
      <c r="B179" s="276" t="s">
        <v>183</v>
      </c>
      <c r="C179" s="273" t="s">
        <v>5</v>
      </c>
      <c r="D179" s="291">
        <f t="shared" ref="D179:E179" si="46">D188+D203</f>
        <v>50769.263701412201</v>
      </c>
      <c r="E179" s="291">
        <f t="shared" si="46"/>
        <v>57144.6875</v>
      </c>
      <c r="F179" s="291">
        <f t="shared" ref="F179:G179" si="47">F188+F203</f>
        <v>55614</v>
      </c>
      <c r="G179" s="291">
        <f t="shared" si="47"/>
        <v>63400</v>
      </c>
      <c r="H179" s="275">
        <f t="shared" si="42"/>
        <v>109.54265621633003</v>
      </c>
      <c r="I179" s="275">
        <f t="shared" si="43"/>
        <v>114.00007192433559</v>
      </c>
    </row>
    <row r="180" spans="1:12" ht="21" customHeight="1">
      <c r="A180" s="593"/>
      <c r="B180" s="276" t="s">
        <v>184</v>
      </c>
      <c r="C180" s="273" t="s">
        <v>5</v>
      </c>
      <c r="D180" s="291">
        <f t="shared" ref="D180:E180" si="48">D189+D204</f>
        <v>227466.60628337937</v>
      </c>
      <c r="E180" s="291">
        <f t="shared" si="48"/>
        <v>278700</v>
      </c>
      <c r="F180" s="291">
        <f t="shared" ref="F180:G180" si="49">F189+F204</f>
        <v>296162.891</v>
      </c>
      <c r="G180" s="291">
        <f t="shared" si="49"/>
        <v>371100</v>
      </c>
      <c r="H180" s="275">
        <f t="shared" ref="H180:H183" si="50">F180/D180*100</f>
        <v>130.20060211872962</v>
      </c>
      <c r="I180" s="275">
        <f t="shared" ref="I180:I183" si="51">G180/F180*100</f>
        <v>125.30266663286996</v>
      </c>
    </row>
    <row r="181" spans="1:12" s="287" customFormat="1" ht="24.75" customHeight="1">
      <c r="A181" s="593">
        <v>2</v>
      </c>
      <c r="B181" s="362" t="s">
        <v>161</v>
      </c>
      <c r="C181" s="283" t="s">
        <v>5</v>
      </c>
      <c r="D181" s="363">
        <f t="shared" ref="D181:E181" si="52">D182+D183+D184</f>
        <v>343433.4641565347</v>
      </c>
      <c r="E181" s="363">
        <f t="shared" si="52"/>
        <v>415560.96499999997</v>
      </c>
      <c r="F181" s="363">
        <f t="shared" ref="F181:G181" si="53">F182+F183+F184</f>
        <v>443426.92205382598</v>
      </c>
      <c r="G181" s="363">
        <f t="shared" si="53"/>
        <v>560850</v>
      </c>
      <c r="H181" s="286">
        <f t="shared" si="50"/>
        <v>129.1158166962189</v>
      </c>
      <c r="I181" s="286">
        <f t="shared" si="51"/>
        <v>126.48081839557781</v>
      </c>
      <c r="J181" s="572"/>
    </row>
    <row r="182" spans="1:12" ht="20.100000000000001" customHeight="1">
      <c r="A182" s="593"/>
      <c r="B182" s="276" t="s">
        <v>182</v>
      </c>
      <c r="C182" s="273" t="s">
        <v>5</v>
      </c>
      <c r="D182" s="291">
        <f t="shared" ref="D182:E182" si="54">D191+D212</f>
        <v>6929.0174600000009</v>
      </c>
      <c r="E182" s="291">
        <f t="shared" si="54"/>
        <v>7415</v>
      </c>
      <c r="F182" s="291">
        <f t="shared" ref="F182:G182" si="55">F191+F212</f>
        <v>7463</v>
      </c>
      <c r="G182" s="291">
        <f t="shared" si="55"/>
        <v>8130</v>
      </c>
      <c r="H182" s="275">
        <f t="shared" si="50"/>
        <v>107.70646838577889</v>
      </c>
      <c r="I182" s="275">
        <f t="shared" si="51"/>
        <v>108.93742462816563</v>
      </c>
    </row>
    <row r="183" spans="1:12" ht="20.100000000000001" customHeight="1">
      <c r="A183" s="593"/>
      <c r="B183" s="276" t="s">
        <v>183</v>
      </c>
      <c r="C183" s="273" t="s">
        <v>5</v>
      </c>
      <c r="D183" s="291">
        <f t="shared" ref="D183:E183" si="56">D192+D213</f>
        <v>74803.446696534695</v>
      </c>
      <c r="E183" s="291">
        <f t="shared" si="56"/>
        <v>84945.964999999997</v>
      </c>
      <c r="F183" s="291">
        <f t="shared" ref="F183:G183" si="57">F192+F213</f>
        <v>84862</v>
      </c>
      <c r="G183" s="291">
        <f t="shared" si="57"/>
        <v>101000</v>
      </c>
      <c r="H183" s="275">
        <f t="shared" si="50"/>
        <v>113.44664416904639</v>
      </c>
      <c r="I183" s="275">
        <f t="shared" si="51"/>
        <v>119.01675661662463</v>
      </c>
    </row>
    <row r="184" spans="1:12" ht="20.100000000000001" customHeight="1">
      <c r="A184" s="593"/>
      <c r="B184" s="276" t="s">
        <v>184</v>
      </c>
      <c r="C184" s="273" t="s">
        <v>5</v>
      </c>
      <c r="D184" s="291">
        <f t="shared" ref="D184:E184" si="58">D193+D214</f>
        <v>261701</v>
      </c>
      <c r="E184" s="291">
        <f t="shared" si="58"/>
        <v>323200</v>
      </c>
      <c r="F184" s="291">
        <f t="shared" ref="F184:G184" si="59">F193+F214</f>
        <v>351101.92205382598</v>
      </c>
      <c r="G184" s="291">
        <f t="shared" si="59"/>
        <v>451720</v>
      </c>
      <c r="H184" s="275">
        <f t="shared" ref="H184" si="60">F184/D184*100</f>
        <v>134.16147513911906</v>
      </c>
      <c r="I184" s="275">
        <f t="shared" ref="I184" si="61">G184/F184*100</f>
        <v>128.65779753001428</v>
      </c>
    </row>
    <row r="185" spans="1:12" s="287" customFormat="1" ht="20.100000000000001" customHeight="1">
      <c r="A185" s="593">
        <v>3</v>
      </c>
      <c r="B185" s="364" t="s">
        <v>162</v>
      </c>
      <c r="C185" s="283"/>
      <c r="D185" s="363"/>
      <c r="E185" s="293"/>
      <c r="F185" s="363"/>
      <c r="G185" s="293"/>
      <c r="H185" s="301"/>
      <c r="I185" s="365"/>
    </row>
    <row r="186" spans="1:12" s="287" customFormat="1" ht="22.5" customHeight="1">
      <c r="A186" s="593" t="s">
        <v>90</v>
      </c>
      <c r="B186" s="309" t="s">
        <v>97</v>
      </c>
      <c r="C186" s="283" t="s">
        <v>5</v>
      </c>
      <c r="D186" s="285">
        <v>28200</v>
      </c>
      <c r="E186" s="285">
        <f>E187+E188+E189</f>
        <v>31999.6875</v>
      </c>
      <c r="F186" s="285">
        <v>30169</v>
      </c>
      <c r="G186" s="285">
        <f>G187+G188+G189</f>
        <v>34560</v>
      </c>
      <c r="H186" s="286">
        <f t="shared" ref="H186:H193" si="62">F186/D186*100</f>
        <v>106.98226950354611</v>
      </c>
      <c r="I186" s="286">
        <f t="shared" ref="I186:I193" si="63">G186/F186*100</f>
        <v>114.55467532898007</v>
      </c>
      <c r="L186" s="572"/>
    </row>
    <row r="187" spans="1:12" ht="21" customHeight="1">
      <c r="A187" s="593"/>
      <c r="B187" s="276" t="s">
        <v>182</v>
      </c>
      <c r="C187" s="273" t="s">
        <v>5</v>
      </c>
      <c r="D187" s="291">
        <v>50</v>
      </c>
      <c r="E187" s="291">
        <v>55</v>
      </c>
      <c r="F187" s="291">
        <v>55</v>
      </c>
      <c r="G187" s="291">
        <v>60</v>
      </c>
      <c r="H187" s="275">
        <f t="shared" si="62"/>
        <v>110.00000000000001</v>
      </c>
      <c r="I187" s="275">
        <f t="shared" si="63"/>
        <v>109.09090909090908</v>
      </c>
      <c r="L187" s="572"/>
    </row>
    <row r="188" spans="1:12" ht="21" customHeight="1">
      <c r="A188" s="593"/>
      <c r="B188" s="276" t="s">
        <v>183</v>
      </c>
      <c r="C188" s="273" t="s">
        <v>5</v>
      </c>
      <c r="D188" s="291">
        <f>D186-D187-D189</f>
        <v>27233.5</v>
      </c>
      <c r="E188" s="291">
        <f>D188*1.125+7+400</f>
        <v>31044.6875</v>
      </c>
      <c r="F188" s="291">
        <f>F186-F187-F189</f>
        <v>29114</v>
      </c>
      <c r="G188" s="291">
        <v>33400</v>
      </c>
      <c r="H188" s="275">
        <f t="shared" si="62"/>
        <v>106.90509850000917</v>
      </c>
      <c r="I188" s="275">
        <f t="shared" si="63"/>
        <v>114.72143985711341</v>
      </c>
      <c r="L188" s="572"/>
    </row>
    <row r="189" spans="1:12" ht="21" customHeight="1">
      <c r="A189" s="593"/>
      <c r="B189" s="276" t="s">
        <v>184</v>
      </c>
      <c r="C189" s="273" t="s">
        <v>5</v>
      </c>
      <c r="D189" s="291">
        <f>D193*0.65</f>
        <v>916.5</v>
      </c>
      <c r="E189" s="291">
        <v>900</v>
      </c>
      <c r="F189" s="291">
        <v>1000</v>
      </c>
      <c r="G189" s="291">
        <v>1100</v>
      </c>
      <c r="H189" s="275">
        <f t="shared" si="62"/>
        <v>109.11074740861974</v>
      </c>
      <c r="I189" s="275">
        <f t="shared" si="63"/>
        <v>110.00000000000001</v>
      </c>
      <c r="L189" s="572"/>
    </row>
    <row r="190" spans="1:12" s="287" customFormat="1" ht="24.75" customHeight="1">
      <c r="A190" s="593" t="s">
        <v>91</v>
      </c>
      <c r="B190" s="309" t="s">
        <v>163</v>
      </c>
      <c r="C190" s="283" t="s">
        <v>5</v>
      </c>
      <c r="D190" s="285">
        <v>42500</v>
      </c>
      <c r="E190" s="285">
        <f>E191+E192+E193</f>
        <v>48960.964999999997</v>
      </c>
      <c r="F190" s="285">
        <v>48025</v>
      </c>
      <c r="G190" s="285">
        <f>G191+G192+G193</f>
        <v>58850</v>
      </c>
      <c r="H190" s="286">
        <f t="shared" si="62"/>
        <v>112.99999999999999</v>
      </c>
      <c r="I190" s="286">
        <f t="shared" si="63"/>
        <v>122.54034357105674</v>
      </c>
      <c r="L190" s="572"/>
    </row>
    <row r="191" spans="1:12" ht="20.100000000000001" customHeight="1">
      <c r="A191" s="593"/>
      <c r="B191" s="276" t="s">
        <v>182</v>
      </c>
      <c r="C191" s="273" t="s">
        <v>5</v>
      </c>
      <c r="D191" s="291">
        <v>100</v>
      </c>
      <c r="E191" s="291">
        <v>115</v>
      </c>
      <c r="F191" s="291">
        <v>113</v>
      </c>
      <c r="G191" s="291">
        <v>130</v>
      </c>
      <c r="H191" s="275">
        <f t="shared" si="62"/>
        <v>112.99999999999999</v>
      </c>
      <c r="I191" s="275">
        <f t="shared" si="63"/>
        <v>115.04424778761062</v>
      </c>
    </row>
    <row r="192" spans="1:12" ht="20.100000000000001" customHeight="1">
      <c r="A192" s="593"/>
      <c r="B192" s="276" t="s">
        <v>183</v>
      </c>
      <c r="C192" s="273" t="s">
        <v>5</v>
      </c>
      <c r="D192" s="291">
        <f>D190-D191-D193</f>
        <v>40990</v>
      </c>
      <c r="E192" s="291">
        <f>D192*1.1535+64</f>
        <v>47345.964999999997</v>
      </c>
      <c r="F192" s="291">
        <f>F190-F191-F193</f>
        <v>46362</v>
      </c>
      <c r="G192" s="291">
        <v>57000</v>
      </c>
      <c r="H192" s="275">
        <f t="shared" si="62"/>
        <v>113.10563552085875</v>
      </c>
      <c r="I192" s="275">
        <f t="shared" si="63"/>
        <v>122.94551572408439</v>
      </c>
    </row>
    <row r="193" spans="1:11" ht="20.100000000000001" customHeight="1">
      <c r="A193" s="593"/>
      <c r="B193" s="276" t="s">
        <v>184</v>
      </c>
      <c r="C193" s="273" t="s">
        <v>5</v>
      </c>
      <c r="D193" s="291">
        <v>1410</v>
      </c>
      <c r="E193" s="291">
        <v>1500</v>
      </c>
      <c r="F193" s="291">
        <v>1550</v>
      </c>
      <c r="G193" s="291">
        <v>1720</v>
      </c>
      <c r="H193" s="275">
        <f t="shared" si="62"/>
        <v>109.92907801418438</v>
      </c>
      <c r="I193" s="275">
        <f t="shared" si="63"/>
        <v>110.96774193548387</v>
      </c>
    </row>
    <row r="194" spans="1:11" s="287" customFormat="1" ht="24.75" customHeight="1">
      <c r="A194" s="593">
        <v>4</v>
      </c>
      <c r="B194" s="364" t="s">
        <v>164</v>
      </c>
      <c r="C194" s="283"/>
      <c r="D194" s="293"/>
      <c r="E194" s="308"/>
      <c r="F194" s="293"/>
      <c r="G194" s="368"/>
      <c r="H194" s="301"/>
      <c r="I194" s="365"/>
    </row>
    <row r="195" spans="1:11" s="281" customFormat="1" ht="24.75" customHeight="1">
      <c r="A195" s="366" t="s">
        <v>90</v>
      </c>
      <c r="B195" s="367" t="s">
        <v>165</v>
      </c>
      <c r="C195" s="366" t="s">
        <v>35</v>
      </c>
      <c r="D195" s="331">
        <v>112.7</v>
      </c>
      <c r="E195" s="368">
        <v>120</v>
      </c>
      <c r="F195" s="368">
        <v>130</v>
      </c>
      <c r="G195" s="368">
        <v>122</v>
      </c>
      <c r="H195" s="369" t="s">
        <v>52</v>
      </c>
      <c r="I195" s="370" t="s">
        <v>52</v>
      </c>
    </row>
    <row r="196" spans="1:11" s="374" customFormat="1" ht="20.100000000000001" customHeight="1">
      <c r="A196" s="295"/>
      <c r="B196" s="371" t="s">
        <v>308</v>
      </c>
      <c r="C196" s="372" t="s">
        <v>35</v>
      </c>
      <c r="D196" s="308">
        <v>108.7</v>
      </c>
      <c r="E196" s="373">
        <v>103.5</v>
      </c>
      <c r="F196" s="373">
        <v>106</v>
      </c>
      <c r="G196" s="373">
        <v>105.5</v>
      </c>
      <c r="H196" s="369" t="s">
        <v>52</v>
      </c>
      <c r="I196" s="370" t="s">
        <v>52</v>
      </c>
    </row>
    <row r="197" spans="1:11" s="374" customFormat="1" ht="20.100000000000001" customHeight="1">
      <c r="A197" s="295"/>
      <c r="B197" s="371" t="s">
        <v>309</v>
      </c>
      <c r="C197" s="372" t="s">
        <v>35</v>
      </c>
      <c r="D197" s="308">
        <v>112.9</v>
      </c>
      <c r="E197" s="373">
        <v>121</v>
      </c>
      <c r="F197" s="373">
        <v>133</v>
      </c>
      <c r="G197" s="373">
        <v>122.5</v>
      </c>
      <c r="H197" s="369" t="s">
        <v>52</v>
      </c>
      <c r="I197" s="370" t="s">
        <v>52</v>
      </c>
    </row>
    <row r="198" spans="1:11" s="374" customFormat="1" ht="20.100000000000001" customHeight="1">
      <c r="A198" s="295"/>
      <c r="B198" s="371" t="s">
        <v>310</v>
      </c>
      <c r="C198" s="372" t="s">
        <v>35</v>
      </c>
      <c r="D198" s="308">
        <v>112.2</v>
      </c>
      <c r="E198" s="373">
        <v>120</v>
      </c>
      <c r="F198" s="373">
        <v>117</v>
      </c>
      <c r="G198" s="373">
        <v>108</v>
      </c>
      <c r="H198" s="369" t="s">
        <v>52</v>
      </c>
      <c r="I198" s="370" t="s">
        <v>52</v>
      </c>
    </row>
    <row r="199" spans="1:11" s="374" customFormat="1" ht="23.25" customHeight="1">
      <c r="A199" s="295"/>
      <c r="B199" s="371" t="s">
        <v>311</v>
      </c>
      <c r="C199" s="372" t="s">
        <v>35</v>
      </c>
      <c r="D199" s="308">
        <v>10.6</v>
      </c>
      <c r="E199" s="373">
        <v>110</v>
      </c>
      <c r="F199" s="373">
        <v>101.5</v>
      </c>
      <c r="G199" s="373">
        <v>103.5</v>
      </c>
      <c r="H199" s="369" t="s">
        <v>52</v>
      </c>
      <c r="I199" s="370" t="s">
        <v>52</v>
      </c>
    </row>
    <row r="200" spans="1:11" s="281" customFormat="1" ht="20.100000000000001" customHeight="1">
      <c r="A200" s="366" t="s">
        <v>91</v>
      </c>
      <c r="B200" s="375" t="s">
        <v>97</v>
      </c>
      <c r="C200" s="376" t="s">
        <v>5</v>
      </c>
      <c r="D200" s="377">
        <f>D202+D203+D204</f>
        <v>254887.88398479158</v>
      </c>
      <c r="E200" s="377">
        <f t="shared" ref="E200:G200" si="64">E202+E203+E204</f>
        <v>309000</v>
      </c>
      <c r="F200" s="377">
        <f t="shared" si="64"/>
        <v>326762.891</v>
      </c>
      <c r="G200" s="377">
        <f t="shared" si="64"/>
        <v>405500</v>
      </c>
      <c r="H200" s="286">
        <f t="shared" ref="H200:H203" si="65">F200/D200*100</f>
        <v>128.19867539074434</v>
      </c>
      <c r="I200" s="286">
        <f>G200/F200*100</f>
        <v>124.09609878252668</v>
      </c>
    </row>
    <row r="201" spans="1:11" s="287" customFormat="1" ht="24.95" customHeight="1">
      <c r="A201" s="295" t="s">
        <v>78</v>
      </c>
      <c r="B201" s="378" t="s">
        <v>166</v>
      </c>
      <c r="C201" s="273"/>
      <c r="D201" s="379"/>
      <c r="E201" s="380"/>
      <c r="F201" s="379"/>
      <c r="G201" s="380"/>
      <c r="H201" s="275"/>
      <c r="I201" s="275"/>
      <c r="J201" s="572"/>
      <c r="K201" s="572"/>
    </row>
    <row r="202" spans="1:11" ht="21" customHeight="1">
      <c r="A202" s="593"/>
      <c r="B202" s="276" t="s">
        <v>182</v>
      </c>
      <c r="C202" s="273" t="s">
        <v>5</v>
      </c>
      <c r="D202" s="379">
        <v>4802.0140000000001</v>
      </c>
      <c r="E202" s="380">
        <v>5100</v>
      </c>
      <c r="F202" s="379">
        <v>5100</v>
      </c>
      <c r="G202" s="380">
        <v>5500</v>
      </c>
      <c r="H202" s="275">
        <f t="shared" si="65"/>
        <v>106.20543796831912</v>
      </c>
      <c r="I202" s="275">
        <f>G202/F202*100</f>
        <v>107.84313725490196</v>
      </c>
    </row>
    <row r="203" spans="1:11" ht="21" customHeight="1">
      <c r="A203" s="593"/>
      <c r="B203" s="276" t="s">
        <v>183</v>
      </c>
      <c r="C203" s="273" t="s">
        <v>5</v>
      </c>
      <c r="D203" s="379">
        <v>23535.763701412201</v>
      </c>
      <c r="E203" s="380">
        <v>26100</v>
      </c>
      <c r="F203" s="379">
        <v>26500</v>
      </c>
      <c r="G203" s="380">
        <v>30000</v>
      </c>
      <c r="H203" s="275">
        <f t="shared" si="65"/>
        <v>112.59460426351042</v>
      </c>
      <c r="I203" s="275">
        <f>G203/F203*100</f>
        <v>113.20754716981132</v>
      </c>
    </row>
    <row r="204" spans="1:11" ht="21" customHeight="1">
      <c r="A204" s="593"/>
      <c r="B204" s="276" t="s">
        <v>184</v>
      </c>
      <c r="C204" s="273" t="s">
        <v>5</v>
      </c>
      <c r="D204" s="381">
        <v>226550.10628337937</v>
      </c>
      <c r="E204" s="381">
        <v>277800</v>
      </c>
      <c r="F204" s="381">
        <f>285245.891+9917</f>
        <v>295162.891</v>
      </c>
      <c r="G204" s="381">
        <v>370000</v>
      </c>
      <c r="H204" s="275">
        <f t="shared" ref="H204" si="66">F204/D204*100</f>
        <v>130.28592033887486</v>
      </c>
      <c r="I204" s="275">
        <f>G204/F204*100</f>
        <v>125.35451145178003</v>
      </c>
      <c r="J204" s="494"/>
    </row>
    <row r="205" spans="1:11" s="374" customFormat="1" ht="24.95" customHeight="1">
      <c r="A205" s="372" t="s">
        <v>78</v>
      </c>
      <c r="B205" s="378" t="s">
        <v>167</v>
      </c>
      <c r="C205" s="383"/>
      <c r="D205" s="384"/>
      <c r="E205" s="385"/>
      <c r="F205" s="384"/>
      <c r="G205" s="385"/>
      <c r="H205" s="275"/>
      <c r="I205" s="275"/>
    </row>
    <row r="206" spans="1:11" ht="24" customHeight="1">
      <c r="A206" s="372"/>
      <c r="B206" s="386" t="s">
        <v>308</v>
      </c>
      <c r="C206" s="273" t="s">
        <v>5</v>
      </c>
      <c r="D206" s="381">
        <v>1150.9774514244343</v>
      </c>
      <c r="E206" s="382">
        <v>1250</v>
      </c>
      <c r="F206" s="381">
        <v>1131.443</v>
      </c>
      <c r="G206" s="382">
        <v>1200</v>
      </c>
      <c r="H206" s="275">
        <f t="shared" ref="H206:H209" si="67">F206/D206*100</f>
        <v>98.302794602947358</v>
      </c>
      <c r="I206" s="275">
        <f t="shared" ref="I206:I209" si="68">G206/F206*100</f>
        <v>106.05925353729705</v>
      </c>
    </row>
    <row r="207" spans="1:11" ht="24" customHeight="1">
      <c r="A207" s="593"/>
      <c r="B207" s="386" t="s">
        <v>309</v>
      </c>
      <c r="C207" s="273" t="s">
        <v>5</v>
      </c>
      <c r="D207" s="388">
        <f>251591-512</f>
        <v>251079</v>
      </c>
      <c r="E207" s="382">
        <f>E200-E206-E209-E208</f>
        <v>304820</v>
      </c>
      <c r="F207" s="382">
        <f>F200-F206-F209-F208</f>
        <v>322805.15499999997</v>
      </c>
      <c r="G207" s="382">
        <f>G200-G206-G209-G208</f>
        <v>401250</v>
      </c>
      <c r="H207" s="275">
        <f>F207/D207*100</f>
        <v>128.56716611106464</v>
      </c>
      <c r="I207" s="275">
        <f>G207/F207*100</f>
        <v>124.30098893557013</v>
      </c>
    </row>
    <row r="208" spans="1:11" ht="24" customHeight="1">
      <c r="A208" s="593"/>
      <c r="B208" s="386" t="s">
        <v>310</v>
      </c>
      <c r="C208" s="273" t="s">
        <v>5</v>
      </c>
      <c r="D208" s="381">
        <v>2277.5097271897225</v>
      </c>
      <c r="E208" s="382">
        <v>2500</v>
      </c>
      <c r="F208" s="381">
        <v>2440.2150000000001</v>
      </c>
      <c r="G208" s="382">
        <v>2650</v>
      </c>
      <c r="H208" s="275">
        <f>F208/D208*100</f>
        <v>107.14399902963505</v>
      </c>
      <c r="I208" s="275">
        <f>G208/F208*100</f>
        <v>108.59698838012224</v>
      </c>
    </row>
    <row r="209" spans="1:11" ht="25.5" customHeight="1">
      <c r="A209" s="593"/>
      <c r="B209" s="371" t="s">
        <v>311</v>
      </c>
      <c r="C209" s="273" t="s">
        <v>5</v>
      </c>
      <c r="D209" s="381">
        <v>380.39680617741249</v>
      </c>
      <c r="E209" s="382">
        <v>430</v>
      </c>
      <c r="F209" s="381">
        <v>386.07799999999997</v>
      </c>
      <c r="G209" s="382">
        <v>400</v>
      </c>
      <c r="H209" s="275">
        <f t="shared" si="67"/>
        <v>101.4934914621596</v>
      </c>
      <c r="I209" s="275">
        <f t="shared" si="68"/>
        <v>103.60600707629028</v>
      </c>
    </row>
    <row r="210" spans="1:11" s="281" customFormat="1" ht="20.100000000000001" customHeight="1">
      <c r="A210" s="366" t="s">
        <v>88</v>
      </c>
      <c r="B210" s="375" t="s">
        <v>163</v>
      </c>
      <c r="C210" s="376" t="s">
        <v>5</v>
      </c>
      <c r="D210" s="389">
        <f>D212+D213+D214</f>
        <v>300933.4641565347</v>
      </c>
      <c r="E210" s="389">
        <f t="shared" ref="E210:G210" si="69">E212+E213+E214</f>
        <v>366600</v>
      </c>
      <c r="F210" s="389">
        <f t="shared" si="69"/>
        <v>395401.92205382598</v>
      </c>
      <c r="G210" s="389">
        <f t="shared" si="69"/>
        <v>502000</v>
      </c>
      <c r="H210" s="286">
        <f t="shared" ref="H210" si="70">F210/D210*100</f>
        <v>131.39180887113048</v>
      </c>
      <c r="I210" s="286">
        <f>G210/F210*100</f>
        <v>126.95942331096278</v>
      </c>
      <c r="K210" s="573"/>
    </row>
    <row r="211" spans="1:11" s="287" customFormat="1" ht="24.95" customHeight="1">
      <c r="A211" s="295" t="s">
        <v>54</v>
      </c>
      <c r="B211" s="378" t="s">
        <v>166</v>
      </c>
      <c r="C211" s="273"/>
      <c r="D211" s="390"/>
      <c r="E211" s="391"/>
      <c r="F211" s="390"/>
      <c r="G211" s="391"/>
      <c r="H211" s="275"/>
      <c r="I211" s="275"/>
      <c r="J211" s="574"/>
      <c r="K211" s="574"/>
    </row>
    <row r="212" spans="1:11" ht="20.100000000000001" customHeight="1">
      <c r="A212" s="593"/>
      <c r="B212" s="276" t="s">
        <v>182</v>
      </c>
      <c r="C212" s="273" t="s">
        <v>5</v>
      </c>
      <c r="D212" s="390">
        <v>6829.0174600000009</v>
      </c>
      <c r="E212" s="391">
        <v>7300</v>
      </c>
      <c r="F212" s="390">
        <v>7350</v>
      </c>
      <c r="G212" s="391">
        <v>8000</v>
      </c>
      <c r="H212" s="275">
        <f t="shared" ref="H212:H214" si="71">F212/D212*100</f>
        <v>107.6289531115066</v>
      </c>
      <c r="I212" s="275">
        <f>G212/F212*100</f>
        <v>108.84353741496599</v>
      </c>
    </row>
    <row r="213" spans="1:11" ht="20.100000000000001" customHeight="1">
      <c r="A213" s="593"/>
      <c r="B213" s="276" t="s">
        <v>183</v>
      </c>
      <c r="C213" s="273" t="s">
        <v>5</v>
      </c>
      <c r="D213" s="390">
        <v>33813.446696534687</v>
      </c>
      <c r="E213" s="391">
        <v>37600</v>
      </c>
      <c r="F213" s="390">
        <v>38500</v>
      </c>
      <c r="G213" s="391">
        <v>44000</v>
      </c>
      <c r="H213" s="275">
        <f t="shared" si="71"/>
        <v>113.86002836541833</v>
      </c>
      <c r="I213" s="275">
        <f>G213/F213*100</f>
        <v>114.28571428571428</v>
      </c>
    </row>
    <row r="214" spans="1:11" ht="20.100000000000001" customHeight="1">
      <c r="A214" s="593"/>
      <c r="B214" s="276" t="s">
        <v>184</v>
      </c>
      <c r="C214" s="273" t="s">
        <v>5</v>
      </c>
      <c r="D214" s="391">
        <v>260291</v>
      </c>
      <c r="E214" s="391">
        <v>321700</v>
      </c>
      <c r="F214" s="391">
        <f>337599.922053826+11952</f>
        <v>349551.92205382598</v>
      </c>
      <c r="G214" s="391">
        <v>450000</v>
      </c>
      <c r="H214" s="275">
        <f t="shared" si="71"/>
        <v>134.29274237442939</v>
      </c>
      <c r="I214" s="275">
        <f>G214/F214*100</f>
        <v>128.73623962814497</v>
      </c>
    </row>
    <row r="215" spans="1:11" s="374" customFormat="1" ht="24.95" customHeight="1">
      <c r="A215" s="372" t="s">
        <v>55</v>
      </c>
      <c r="B215" s="378" t="s">
        <v>167</v>
      </c>
      <c r="C215" s="383"/>
      <c r="D215" s="391"/>
      <c r="E215" s="391"/>
      <c r="F215" s="391"/>
      <c r="G215" s="391"/>
      <c r="H215" s="275"/>
      <c r="I215" s="275"/>
      <c r="K215" s="394"/>
    </row>
    <row r="216" spans="1:11" s="394" customFormat="1" ht="24" customHeight="1">
      <c r="A216" s="392"/>
      <c r="B216" s="386" t="s">
        <v>308</v>
      </c>
      <c r="C216" s="393" t="s">
        <v>5</v>
      </c>
      <c r="D216" s="391">
        <v>2379.1814164505495</v>
      </c>
      <c r="E216" s="391">
        <v>2600</v>
      </c>
      <c r="F216" s="391">
        <v>2620.0637491007028</v>
      </c>
      <c r="G216" s="391">
        <v>2900</v>
      </c>
      <c r="H216" s="275">
        <f t="shared" ref="H216:H219" si="72">F216/D216*100</f>
        <v>110.12458869191744</v>
      </c>
      <c r="I216" s="275">
        <f t="shared" ref="I216:I219" si="73">G216/F216*100</f>
        <v>110.68432976088391</v>
      </c>
    </row>
    <row r="217" spans="1:11" s="394" customFormat="1" ht="24" customHeight="1">
      <c r="A217" s="395"/>
      <c r="B217" s="386" t="s">
        <v>309</v>
      </c>
      <c r="C217" s="393" t="s">
        <v>5</v>
      </c>
      <c r="D217" s="391">
        <f>282577+11905</f>
        <v>294482</v>
      </c>
      <c r="E217" s="391">
        <f>E210-E219-E216-E218</f>
        <v>359620</v>
      </c>
      <c r="F217" s="391">
        <f>F210-F219-F216-F218</f>
        <v>388408.53036756982</v>
      </c>
      <c r="G217" s="391">
        <f>G210-G219-G216-G218</f>
        <v>494300</v>
      </c>
      <c r="H217" s="275">
        <f t="shared" si="72"/>
        <v>131.89550816945342</v>
      </c>
      <c r="I217" s="275">
        <f t="shared" si="73"/>
        <v>127.26291040318294</v>
      </c>
    </row>
    <row r="218" spans="1:11" s="394" customFormat="1" ht="24" customHeight="1">
      <c r="A218" s="395"/>
      <c r="B218" s="386" t="s">
        <v>310</v>
      </c>
      <c r="C218" s="393" t="s">
        <v>5</v>
      </c>
      <c r="D218" s="391">
        <v>3417.5498634630608</v>
      </c>
      <c r="E218" s="391">
        <v>3650</v>
      </c>
      <c r="F218" s="391">
        <v>3705.3000641270878</v>
      </c>
      <c r="G218" s="391">
        <v>4100</v>
      </c>
      <c r="H218" s="275">
        <f t="shared" si="72"/>
        <v>108.41978060774935</v>
      </c>
      <c r="I218" s="275">
        <f t="shared" si="73"/>
        <v>110.65230693984019</v>
      </c>
    </row>
    <row r="219" spans="1:11" s="394" customFormat="1" ht="24" customHeight="1">
      <c r="A219" s="396" t="s">
        <v>51</v>
      </c>
      <c r="B219" s="386" t="s">
        <v>311</v>
      </c>
      <c r="C219" s="393" t="s">
        <v>5</v>
      </c>
      <c r="D219" s="391">
        <v>654.72142207084767</v>
      </c>
      <c r="E219" s="391">
        <v>730</v>
      </c>
      <c r="F219" s="391">
        <v>668.0278730283386</v>
      </c>
      <c r="G219" s="391">
        <v>700</v>
      </c>
      <c r="H219" s="275">
        <f t="shared" si="72"/>
        <v>102.03238362285494</v>
      </c>
      <c r="I219" s="275">
        <f t="shared" si="73"/>
        <v>104.78604684962076</v>
      </c>
    </row>
    <row r="220" spans="1:11" s="287" customFormat="1" ht="27" customHeight="1">
      <c r="A220" s="593">
        <v>5</v>
      </c>
      <c r="B220" s="397" t="s">
        <v>23</v>
      </c>
      <c r="C220" s="295"/>
      <c r="D220" s="293"/>
      <c r="E220" s="308"/>
      <c r="F220" s="293"/>
      <c r="G220" s="308"/>
      <c r="H220" s="275"/>
      <c r="I220" s="275"/>
    </row>
    <row r="221" spans="1:11" ht="21.95" customHeight="1">
      <c r="A221" s="295"/>
      <c r="B221" s="398" t="s">
        <v>312</v>
      </c>
      <c r="C221" s="399" t="s">
        <v>540</v>
      </c>
      <c r="D221" s="387">
        <v>603.16</v>
      </c>
      <c r="E221" s="291">
        <v>780</v>
      </c>
      <c r="F221" s="291">
        <v>780</v>
      </c>
      <c r="G221" s="291">
        <v>950</v>
      </c>
      <c r="H221" s="275">
        <f t="shared" ref="H221:H231" si="74">F221/D221*100</f>
        <v>129.31892035280853</v>
      </c>
      <c r="I221" s="275">
        <f t="shared" ref="I221:I231" si="75">G221/F221*100</f>
        <v>121.79487179487178</v>
      </c>
    </row>
    <row r="222" spans="1:11" ht="21.95" customHeight="1">
      <c r="A222" s="295"/>
      <c r="B222" s="288" t="s">
        <v>313</v>
      </c>
      <c r="C222" s="399" t="s">
        <v>541</v>
      </c>
      <c r="D222" s="387">
        <v>266100</v>
      </c>
      <c r="E222" s="291">
        <v>370000</v>
      </c>
      <c r="F222" s="291">
        <v>370000</v>
      </c>
      <c r="G222" s="291">
        <v>470000</v>
      </c>
      <c r="H222" s="275">
        <f t="shared" si="74"/>
        <v>139.0454716272078</v>
      </c>
      <c r="I222" s="275">
        <f t="shared" si="75"/>
        <v>127.02702702702702</v>
      </c>
    </row>
    <row r="223" spans="1:11" ht="21.95" customHeight="1">
      <c r="A223" s="295"/>
      <c r="B223" s="288" t="s">
        <v>314</v>
      </c>
      <c r="C223" s="399" t="s">
        <v>581</v>
      </c>
      <c r="D223" s="387">
        <v>1330.5</v>
      </c>
      <c r="E223" s="291">
        <v>1720</v>
      </c>
      <c r="F223" s="291">
        <v>1720</v>
      </c>
      <c r="G223" s="291">
        <v>2100</v>
      </c>
      <c r="H223" s="275">
        <f t="shared" si="74"/>
        <v>129.27470875610675</v>
      </c>
      <c r="I223" s="275">
        <f t="shared" si="75"/>
        <v>122.09302325581395</v>
      </c>
    </row>
    <row r="224" spans="1:11" ht="21.95" customHeight="1">
      <c r="A224" s="593"/>
      <c r="B224" s="398" t="s">
        <v>315</v>
      </c>
      <c r="C224" s="399" t="s">
        <v>542</v>
      </c>
      <c r="D224" s="291">
        <v>408.02</v>
      </c>
      <c r="E224" s="291">
        <v>502</v>
      </c>
      <c r="F224" s="291">
        <v>502</v>
      </c>
      <c r="G224" s="291">
        <v>547</v>
      </c>
      <c r="H224" s="275">
        <f t="shared" si="74"/>
        <v>123.0331846478114</v>
      </c>
      <c r="I224" s="275">
        <f t="shared" si="75"/>
        <v>108.96414342629481</v>
      </c>
    </row>
    <row r="225" spans="1:9" s="401" customFormat="1" ht="21.95" customHeight="1">
      <c r="A225" s="593"/>
      <c r="B225" s="288" t="s">
        <v>168</v>
      </c>
      <c r="C225" s="400" t="s">
        <v>543</v>
      </c>
      <c r="D225" s="387">
        <v>940.22</v>
      </c>
      <c r="E225" s="291">
        <v>1230</v>
      </c>
      <c r="F225" s="291">
        <v>1230</v>
      </c>
      <c r="G225" s="291">
        <v>1450</v>
      </c>
      <c r="H225" s="275">
        <f t="shared" si="74"/>
        <v>130.82044627853057</v>
      </c>
      <c r="I225" s="275">
        <f t="shared" si="75"/>
        <v>117.88617886178862</v>
      </c>
    </row>
    <row r="226" spans="1:9" s="401" customFormat="1" ht="21.95" customHeight="1">
      <c r="A226" s="593"/>
      <c r="B226" s="288" t="s">
        <v>316</v>
      </c>
      <c r="C226" s="400" t="s">
        <v>56</v>
      </c>
      <c r="D226" s="291">
        <v>93135</v>
      </c>
      <c r="E226" s="291">
        <v>115000</v>
      </c>
      <c r="F226" s="291">
        <v>115000</v>
      </c>
      <c r="G226" s="291">
        <v>135000</v>
      </c>
      <c r="H226" s="275">
        <f t="shared" si="74"/>
        <v>123.47667364578301</v>
      </c>
      <c r="I226" s="275">
        <f t="shared" si="75"/>
        <v>117.39130434782609</v>
      </c>
    </row>
    <row r="227" spans="1:9" s="401" customFormat="1" ht="21.95" customHeight="1">
      <c r="A227" s="593"/>
      <c r="B227" s="402" t="s">
        <v>317</v>
      </c>
      <c r="C227" s="400" t="s">
        <v>56</v>
      </c>
      <c r="D227" s="291">
        <v>102005</v>
      </c>
      <c r="E227" s="291">
        <v>138000</v>
      </c>
      <c r="F227" s="291">
        <v>138000</v>
      </c>
      <c r="G227" s="291">
        <v>175000</v>
      </c>
      <c r="H227" s="275">
        <f t="shared" si="74"/>
        <v>135.28748590755356</v>
      </c>
      <c r="I227" s="275">
        <f t="shared" si="75"/>
        <v>126.81159420289856</v>
      </c>
    </row>
    <row r="228" spans="1:9" ht="21.95" customHeight="1">
      <c r="A228" s="593"/>
      <c r="B228" s="288" t="s">
        <v>318</v>
      </c>
      <c r="C228" s="399" t="s">
        <v>544</v>
      </c>
      <c r="D228" s="291">
        <v>337060</v>
      </c>
      <c r="E228" s="291">
        <v>445000</v>
      </c>
      <c r="F228" s="291">
        <v>445000</v>
      </c>
      <c r="G228" s="291">
        <v>550000</v>
      </c>
      <c r="H228" s="275">
        <f t="shared" si="74"/>
        <v>132.02397199311696</v>
      </c>
      <c r="I228" s="275">
        <f t="shared" si="75"/>
        <v>123.59550561797752</v>
      </c>
    </row>
    <row r="229" spans="1:9" ht="21.95" customHeight="1">
      <c r="A229" s="593"/>
      <c r="B229" s="288" t="s">
        <v>319</v>
      </c>
      <c r="C229" s="399" t="s">
        <v>290</v>
      </c>
      <c r="D229" s="387">
        <v>1729.65</v>
      </c>
      <c r="E229" s="291">
        <v>2170</v>
      </c>
      <c r="F229" s="291">
        <v>2170</v>
      </c>
      <c r="G229" s="291">
        <v>2400</v>
      </c>
      <c r="H229" s="275">
        <f t="shared" si="74"/>
        <v>125.45890787153469</v>
      </c>
      <c r="I229" s="275">
        <f t="shared" si="75"/>
        <v>110.59907834101384</v>
      </c>
    </row>
    <row r="230" spans="1:9" ht="21.95" customHeight="1">
      <c r="A230" s="593"/>
      <c r="B230" s="288" t="s">
        <v>320</v>
      </c>
      <c r="C230" s="399" t="s">
        <v>290</v>
      </c>
      <c r="D230" s="387">
        <v>4967.2</v>
      </c>
      <c r="E230" s="291">
        <v>6520</v>
      </c>
      <c r="F230" s="291">
        <v>6520</v>
      </c>
      <c r="G230" s="291">
        <v>7650</v>
      </c>
      <c r="H230" s="275">
        <f t="shared" si="74"/>
        <v>131.26107263649541</v>
      </c>
      <c r="I230" s="275">
        <f t="shared" si="75"/>
        <v>117.33128834355828</v>
      </c>
    </row>
    <row r="231" spans="1:9" ht="21.95" customHeight="1">
      <c r="A231" s="593"/>
      <c r="B231" s="288" t="s">
        <v>321</v>
      </c>
      <c r="C231" s="399" t="s">
        <v>545</v>
      </c>
      <c r="D231" s="387">
        <v>17296.5</v>
      </c>
      <c r="E231" s="291">
        <v>21750</v>
      </c>
      <c r="F231" s="291">
        <v>21750</v>
      </c>
      <c r="G231" s="291">
        <v>25000</v>
      </c>
      <c r="H231" s="275">
        <f t="shared" si="74"/>
        <v>125.7479836961235</v>
      </c>
      <c r="I231" s="275">
        <f t="shared" si="75"/>
        <v>114.94252873563218</v>
      </c>
    </row>
    <row r="232" spans="1:9" s="406" customFormat="1" ht="29.25" customHeight="1">
      <c r="A232" s="262" t="s">
        <v>57</v>
      </c>
      <c r="B232" s="403" t="s">
        <v>82</v>
      </c>
      <c r="C232" s="360"/>
      <c r="D232" s="404"/>
      <c r="E232" s="404"/>
      <c r="F232" s="404"/>
      <c r="G232" s="404"/>
      <c r="H232" s="405"/>
      <c r="I232" s="262"/>
    </row>
    <row r="233" spans="1:9" s="409" customFormat="1" ht="28.5" customHeight="1">
      <c r="A233" s="395">
        <v>1</v>
      </c>
      <c r="B233" s="407" t="s">
        <v>169</v>
      </c>
      <c r="C233" s="408"/>
      <c r="D233" s="395"/>
      <c r="E233" s="308"/>
      <c r="F233" s="395"/>
      <c r="G233" s="308"/>
      <c r="H233" s="395"/>
      <c r="I233" s="395"/>
    </row>
    <row r="234" spans="1:9" s="411" customFormat="1" ht="21.95" customHeight="1">
      <c r="A234" s="408"/>
      <c r="B234" s="410" t="s">
        <v>170</v>
      </c>
      <c r="C234" s="408" t="s">
        <v>5</v>
      </c>
      <c r="D234" s="291">
        <v>25684.238359999999</v>
      </c>
      <c r="E234" s="291">
        <f>D234*1.07</f>
        <v>27482.135045200001</v>
      </c>
      <c r="F234" s="291">
        <v>28031.402999999998</v>
      </c>
      <c r="G234" s="291">
        <f>F234*1.095</f>
        <v>30694.386284999997</v>
      </c>
      <c r="H234" s="275">
        <f t="shared" ref="H234:H235" si="76">F234/D234*100</f>
        <v>109.13854094912705</v>
      </c>
      <c r="I234" s="275">
        <f t="shared" ref="I234:I235" si="77">G234/F234*100</f>
        <v>109.5</v>
      </c>
    </row>
    <row r="235" spans="1:9" s="411" customFormat="1" ht="21.95" customHeight="1">
      <c r="A235" s="408"/>
      <c r="B235" s="410" t="s">
        <v>171</v>
      </c>
      <c r="C235" s="408" t="s">
        <v>5</v>
      </c>
      <c r="D235" s="291">
        <v>42730.827729999997</v>
      </c>
      <c r="E235" s="291">
        <f>D235*1.08</f>
        <v>46149.293948400002</v>
      </c>
      <c r="F235" s="291">
        <v>47526.391805622465</v>
      </c>
      <c r="G235" s="291">
        <f>F235*1.115</f>
        <v>52991.926863269051</v>
      </c>
      <c r="H235" s="275">
        <f t="shared" si="76"/>
        <v>111.2227268470525</v>
      </c>
      <c r="I235" s="275">
        <f t="shared" si="77"/>
        <v>111.5</v>
      </c>
    </row>
    <row r="236" spans="1:9" s="409" customFormat="1" ht="29.25" customHeight="1">
      <c r="A236" s="395">
        <v>2</v>
      </c>
      <c r="B236" s="397" t="s">
        <v>172</v>
      </c>
      <c r="C236" s="412" t="s">
        <v>5</v>
      </c>
      <c r="D236" s="363">
        <v>33146</v>
      </c>
      <c r="E236" s="363">
        <v>36500</v>
      </c>
      <c r="F236" s="363">
        <v>36500</v>
      </c>
      <c r="G236" s="363">
        <v>40500</v>
      </c>
      <c r="H236" s="286">
        <f t="shared" ref="H236" si="78">F236/D236*100</f>
        <v>110.11886803837567</v>
      </c>
      <c r="I236" s="286">
        <f t="shared" ref="I236" si="79">G236/F236*100</f>
        <v>110.95890410958904</v>
      </c>
    </row>
    <row r="237" spans="1:9" ht="32.25" customHeight="1">
      <c r="A237" s="594">
        <v>3</v>
      </c>
      <c r="B237" s="413" t="s">
        <v>193</v>
      </c>
      <c r="C237" s="594" t="str">
        <f>C238</f>
        <v>Nghìn lượt người</v>
      </c>
      <c r="D237" s="414">
        <v>500</v>
      </c>
      <c r="E237" s="414">
        <v>1000</v>
      </c>
      <c r="F237" s="568">
        <f>F238+F239</f>
        <v>1215</v>
      </c>
      <c r="G237" s="569">
        <f>G238+G239</f>
        <v>1500</v>
      </c>
      <c r="H237" s="286">
        <f t="shared" ref="H237:H239" si="80">F237/D237*100</f>
        <v>243.00000000000003</v>
      </c>
      <c r="I237" s="286">
        <f t="shared" ref="I237:I239" si="81">G237/F237*100</f>
        <v>123.45679012345678</v>
      </c>
    </row>
    <row r="238" spans="1:9" ht="37.5">
      <c r="A238" s="261"/>
      <c r="B238" s="415" t="s">
        <v>270</v>
      </c>
      <c r="C238" s="261" t="s">
        <v>194</v>
      </c>
      <c r="D238" s="416">
        <v>492</v>
      </c>
      <c r="E238" s="417">
        <v>985</v>
      </c>
      <c r="F238" s="416">
        <v>1200</v>
      </c>
      <c r="G238" s="417">
        <v>1470</v>
      </c>
      <c r="H238" s="275">
        <f t="shared" si="80"/>
        <v>243.90243902439025</v>
      </c>
      <c r="I238" s="275">
        <f t="shared" si="81"/>
        <v>122.50000000000001</v>
      </c>
    </row>
    <row r="239" spans="1:9" ht="37.5">
      <c r="A239" s="261"/>
      <c r="B239" s="415" t="s">
        <v>269</v>
      </c>
      <c r="C239" s="261" t="s">
        <v>194</v>
      </c>
      <c r="D239" s="416">
        <v>8</v>
      </c>
      <c r="E239" s="417">
        <v>15</v>
      </c>
      <c r="F239" s="416">
        <v>15</v>
      </c>
      <c r="G239" s="417">
        <v>30</v>
      </c>
      <c r="H239" s="275">
        <f t="shared" si="80"/>
        <v>187.5</v>
      </c>
      <c r="I239" s="275">
        <f t="shared" si="81"/>
        <v>200</v>
      </c>
    </row>
    <row r="240" spans="1:9" s="422" customFormat="1" ht="30" customHeight="1">
      <c r="A240" s="418" t="s">
        <v>61</v>
      </c>
      <c r="B240" s="419" t="s">
        <v>195</v>
      </c>
      <c r="C240" s="420"/>
      <c r="D240" s="421"/>
      <c r="E240" s="421"/>
      <c r="F240" s="421"/>
      <c r="G240" s="421"/>
      <c r="H240" s="420"/>
      <c r="I240" s="420"/>
    </row>
    <row r="241" spans="1:9" s="427" customFormat="1" ht="28.5" customHeight="1">
      <c r="A241" s="423">
        <v>1</v>
      </c>
      <c r="B241" s="413" t="s">
        <v>205</v>
      </c>
      <c r="C241" s="423"/>
      <c r="D241" s="424"/>
      <c r="E241" s="425"/>
      <c r="F241" s="424"/>
      <c r="G241" s="425"/>
      <c r="H241" s="425"/>
      <c r="I241" s="426"/>
    </row>
    <row r="242" spans="1:9" s="422" customFormat="1" ht="21.75" customHeight="1">
      <c r="A242" s="428"/>
      <c r="B242" s="429" t="s">
        <v>322</v>
      </c>
      <c r="C242" s="430" t="s">
        <v>59</v>
      </c>
      <c r="D242" s="424">
        <v>12</v>
      </c>
      <c r="E242" s="424">
        <v>12</v>
      </c>
      <c r="F242" s="424">
        <v>12</v>
      </c>
      <c r="G242" s="424">
        <v>12</v>
      </c>
      <c r="H242" s="431" t="s">
        <v>52</v>
      </c>
      <c r="I242" s="432" t="s">
        <v>52</v>
      </c>
    </row>
    <row r="243" spans="1:9" s="422" customFormat="1" ht="21" customHeight="1">
      <c r="A243" s="430"/>
      <c r="B243" s="433" t="s">
        <v>306</v>
      </c>
      <c r="C243" s="430" t="s">
        <v>59</v>
      </c>
      <c r="D243" s="436">
        <v>5</v>
      </c>
      <c r="E243" s="436">
        <v>5</v>
      </c>
      <c r="F243" s="436">
        <v>5</v>
      </c>
      <c r="G243" s="436">
        <v>5</v>
      </c>
      <c r="H243" s="434" t="s">
        <v>52</v>
      </c>
      <c r="I243" s="428" t="s">
        <v>52</v>
      </c>
    </row>
    <row r="244" spans="1:9" s="422" customFormat="1" ht="19.5" customHeight="1">
      <c r="A244" s="430"/>
      <c r="B244" s="433" t="s">
        <v>307</v>
      </c>
      <c r="C244" s="430" t="str">
        <f>C243</f>
        <v>DN</v>
      </c>
      <c r="D244" s="436">
        <v>7</v>
      </c>
      <c r="E244" s="436">
        <v>7</v>
      </c>
      <c r="F244" s="436">
        <v>7</v>
      </c>
      <c r="G244" s="436">
        <v>7</v>
      </c>
      <c r="H244" s="434" t="s">
        <v>52</v>
      </c>
      <c r="I244" s="428" t="s">
        <v>52</v>
      </c>
    </row>
    <row r="245" spans="1:9" s="422" customFormat="1" ht="21.75" customHeight="1">
      <c r="A245" s="428"/>
      <c r="B245" s="429" t="s">
        <v>323</v>
      </c>
      <c r="C245" s="430" t="s">
        <v>59</v>
      </c>
      <c r="D245" s="495"/>
      <c r="E245" s="495"/>
      <c r="F245" s="495"/>
      <c r="G245" s="495"/>
      <c r="H245" s="431" t="s">
        <v>52</v>
      </c>
      <c r="I245" s="428" t="s">
        <v>52</v>
      </c>
    </row>
    <row r="246" spans="1:9" s="422" customFormat="1" ht="43.5" customHeight="1">
      <c r="A246" s="428"/>
      <c r="B246" s="435" t="s">
        <v>324</v>
      </c>
      <c r="C246" s="430" t="s">
        <v>59</v>
      </c>
      <c r="D246" s="495">
        <v>0</v>
      </c>
      <c r="E246" s="495">
        <v>0</v>
      </c>
      <c r="F246" s="495">
        <v>0</v>
      </c>
      <c r="G246" s="495">
        <v>0</v>
      </c>
      <c r="H246" s="431" t="s">
        <v>52</v>
      </c>
      <c r="I246" s="428" t="s">
        <v>52</v>
      </c>
    </row>
    <row r="247" spans="1:9" s="422" customFormat="1" ht="20.100000000000001" customHeight="1">
      <c r="A247" s="428"/>
      <c r="B247" s="429" t="s">
        <v>325</v>
      </c>
      <c r="C247" s="430" t="s">
        <v>5</v>
      </c>
      <c r="D247" s="436">
        <v>874</v>
      </c>
      <c r="E247" s="436">
        <v>874</v>
      </c>
      <c r="F247" s="436">
        <v>874</v>
      </c>
      <c r="G247" s="436">
        <v>874</v>
      </c>
      <c r="H247" s="301">
        <f>ROUND(F247/D247*100,2)</f>
        <v>100</v>
      </c>
      <c r="I247" s="301">
        <f>ROUND(G247/F247*100,2)</f>
        <v>100</v>
      </c>
    </row>
    <row r="248" spans="1:9" s="422" customFormat="1" ht="20.100000000000001" customHeight="1">
      <c r="A248" s="428"/>
      <c r="B248" s="429" t="s">
        <v>326</v>
      </c>
      <c r="C248" s="430" t="s">
        <v>5</v>
      </c>
      <c r="D248" s="436">
        <v>874</v>
      </c>
      <c r="E248" s="436">
        <v>874</v>
      </c>
      <c r="F248" s="436">
        <v>874</v>
      </c>
      <c r="G248" s="436">
        <v>874</v>
      </c>
      <c r="H248" s="301">
        <f>ROUND(F248/D248*100,2)</f>
        <v>100</v>
      </c>
      <c r="I248" s="301">
        <f>ROUND(G248/F248*100,2)</f>
        <v>100</v>
      </c>
    </row>
    <row r="249" spans="1:9" s="422" customFormat="1" ht="21.75" customHeight="1">
      <c r="A249" s="428"/>
      <c r="B249" s="429" t="s">
        <v>327</v>
      </c>
      <c r="C249" s="430" t="s">
        <v>5</v>
      </c>
      <c r="D249" s="436">
        <v>587.9</v>
      </c>
      <c r="E249" s="436">
        <v>460</v>
      </c>
      <c r="F249" s="436">
        <v>430</v>
      </c>
      <c r="G249" s="436">
        <v>487</v>
      </c>
      <c r="H249" s="301">
        <f>ROUND(F249/D249*100,2)</f>
        <v>73.14</v>
      </c>
      <c r="I249" s="301">
        <f>ROUND(G249/F249*100,2)</f>
        <v>113.26</v>
      </c>
    </row>
    <row r="250" spans="1:9" s="422" customFormat="1" ht="31.5" customHeight="1">
      <c r="A250" s="426">
        <v>2</v>
      </c>
      <c r="B250" s="437" t="s">
        <v>77</v>
      </c>
      <c r="C250" s="426"/>
      <c r="D250" s="436"/>
      <c r="E250" s="424"/>
      <c r="F250" s="436"/>
      <c r="G250" s="424"/>
      <c r="H250" s="301"/>
      <c r="I250" s="301"/>
    </row>
    <row r="251" spans="1:9" s="422" customFormat="1" ht="21.95" customHeight="1">
      <c r="A251" s="428"/>
      <c r="B251" s="438" t="s">
        <v>328</v>
      </c>
      <c r="C251" s="430" t="s">
        <v>59</v>
      </c>
      <c r="D251" s="436">
        <v>12156</v>
      </c>
      <c r="E251" s="436">
        <f>+D251+E252-80</f>
        <v>13476</v>
      </c>
      <c r="F251" s="436">
        <f>+D251+F252-50</f>
        <v>13536</v>
      </c>
      <c r="G251" s="436">
        <f>+F251+G252-50</f>
        <v>14936</v>
      </c>
      <c r="H251" s="301">
        <f t="shared" ref="H251:H254" si="82">ROUND(F251/D251*100,2)</f>
        <v>111.35</v>
      </c>
      <c r="I251" s="301">
        <f t="shared" ref="I251:I256" si="83">ROUND(G251/F251*100,2)</f>
        <v>110.34</v>
      </c>
    </row>
    <row r="252" spans="1:9" s="422" customFormat="1" ht="21.95" customHeight="1">
      <c r="A252" s="428"/>
      <c r="B252" s="438" t="s">
        <v>329</v>
      </c>
      <c r="C252" s="430" t="s">
        <v>59</v>
      </c>
      <c r="D252" s="436">
        <v>1416</v>
      </c>
      <c r="E252" s="436">
        <v>1400</v>
      </c>
      <c r="F252" s="436">
        <v>1430</v>
      </c>
      <c r="G252" s="436">
        <v>1450</v>
      </c>
      <c r="H252" s="301">
        <f t="shared" si="82"/>
        <v>100.99</v>
      </c>
      <c r="I252" s="301">
        <f t="shared" si="83"/>
        <v>101.4</v>
      </c>
    </row>
    <row r="253" spans="1:9" s="422" customFormat="1" ht="37.5">
      <c r="A253" s="439"/>
      <c r="B253" s="435" t="s">
        <v>508</v>
      </c>
      <c r="C253" s="430" t="s">
        <v>59</v>
      </c>
      <c r="D253" s="436">
        <v>7700</v>
      </c>
      <c r="E253" s="436">
        <f>D253+800</f>
        <v>8500</v>
      </c>
      <c r="F253" s="436">
        <f>+D253+800</f>
        <v>8500</v>
      </c>
      <c r="G253" s="436">
        <f>+F253+800</f>
        <v>9300</v>
      </c>
      <c r="H253" s="301">
        <f t="shared" si="82"/>
        <v>110.39</v>
      </c>
      <c r="I253" s="301">
        <f t="shared" si="83"/>
        <v>109.41</v>
      </c>
    </row>
    <row r="254" spans="1:9" s="422" customFormat="1" ht="21.95" customHeight="1">
      <c r="A254" s="439"/>
      <c r="B254" s="429" t="s">
        <v>330</v>
      </c>
      <c r="C254" s="430" t="s">
        <v>59</v>
      </c>
      <c r="D254" s="436">
        <v>2100</v>
      </c>
      <c r="E254" s="436">
        <v>2200</v>
      </c>
      <c r="F254" s="436">
        <v>2200</v>
      </c>
      <c r="G254" s="436">
        <v>2300</v>
      </c>
      <c r="H254" s="301">
        <f t="shared" si="82"/>
        <v>104.76</v>
      </c>
      <c r="I254" s="301">
        <f t="shared" si="83"/>
        <v>104.55</v>
      </c>
    </row>
    <row r="255" spans="1:9" s="538" customFormat="1" ht="21.95" customHeight="1">
      <c r="A255" s="535"/>
      <c r="B255" s="536" t="s">
        <v>331</v>
      </c>
      <c r="C255" s="450" t="s">
        <v>6</v>
      </c>
      <c r="D255" s="537">
        <v>305000</v>
      </c>
      <c r="E255" s="537">
        <v>337000</v>
      </c>
      <c r="F255" s="537">
        <v>280000</v>
      </c>
      <c r="G255" s="537">
        <v>300000</v>
      </c>
      <c r="H255" s="308">
        <f>ROUND(F255/D255*100,2)</f>
        <v>91.8</v>
      </c>
      <c r="I255" s="308">
        <f>ROUND(G255/F255*100,2)</f>
        <v>107.14</v>
      </c>
    </row>
    <row r="256" spans="1:9" s="422" customFormat="1" ht="21.95" customHeight="1">
      <c r="A256" s="428"/>
      <c r="B256" s="429" t="s">
        <v>327</v>
      </c>
      <c r="C256" s="430" t="s">
        <v>5</v>
      </c>
      <c r="D256" s="436">
        <v>3027.4</v>
      </c>
      <c r="E256" s="436">
        <v>2400</v>
      </c>
      <c r="F256" s="436">
        <v>2321</v>
      </c>
      <c r="G256" s="436">
        <v>2696</v>
      </c>
      <c r="H256" s="301">
        <f>ROUND(F256/D256*100,2)</f>
        <v>76.67</v>
      </c>
      <c r="I256" s="301">
        <f t="shared" si="83"/>
        <v>116.16</v>
      </c>
    </row>
    <row r="257" spans="1:9" ht="24.75" customHeight="1">
      <c r="A257" s="594" t="s">
        <v>197</v>
      </c>
      <c r="B257" s="413" t="s">
        <v>196</v>
      </c>
      <c r="C257" s="594"/>
      <c r="D257" s="414"/>
      <c r="E257" s="414"/>
      <c r="F257" s="414"/>
      <c r="G257" s="414"/>
      <c r="H257" s="301"/>
      <c r="I257" s="301"/>
    </row>
    <row r="258" spans="1:9" s="394" customFormat="1" ht="24.95" customHeight="1">
      <c r="A258" s="539"/>
      <c r="B258" s="440" t="s">
        <v>509</v>
      </c>
      <c r="C258" s="540" t="str">
        <f>C260</f>
        <v>HTX</v>
      </c>
      <c r="D258" s="291">
        <v>950</v>
      </c>
      <c r="E258" s="291">
        <v>835</v>
      </c>
      <c r="F258" s="291">
        <f>+D258+F259</f>
        <v>1000</v>
      </c>
      <c r="G258" s="291">
        <f>+F258+G259</f>
        <v>1060</v>
      </c>
      <c r="H258" s="308">
        <f t="shared" ref="H258" si="84">ROUND(F258/D258*100,2)</f>
        <v>105.26</v>
      </c>
      <c r="I258" s="308">
        <f t="shared" ref="I258" si="85">ROUND(G258/F258*100,2)</f>
        <v>106</v>
      </c>
    </row>
    <row r="259" spans="1:9" s="374" customFormat="1" ht="24.95" customHeight="1">
      <c r="A259" s="441"/>
      <c r="B259" s="442" t="s">
        <v>272</v>
      </c>
      <c r="C259" s="443" t="s">
        <v>271</v>
      </c>
      <c r="D259" s="444">
        <v>141</v>
      </c>
      <c r="E259" s="444">
        <v>60</v>
      </c>
      <c r="F259" s="444">
        <v>50</v>
      </c>
      <c r="G259" s="444">
        <v>60</v>
      </c>
      <c r="H259" s="445">
        <f>F259/D259*100</f>
        <v>35.460992907801419</v>
      </c>
      <c r="I259" s="445">
        <f>G259/F259*100</f>
        <v>120</v>
      </c>
    </row>
    <row r="260" spans="1:9" ht="37.5">
      <c r="A260" s="261"/>
      <c r="B260" s="440" t="s">
        <v>510</v>
      </c>
      <c r="C260" s="446" t="s">
        <v>271</v>
      </c>
      <c r="D260" s="436">
        <f>474+50</f>
        <v>524</v>
      </c>
      <c r="E260" s="436">
        <f>D260+30</f>
        <v>554</v>
      </c>
      <c r="F260" s="436">
        <f>+D260+F259</f>
        <v>574</v>
      </c>
      <c r="G260" s="436">
        <f>+F260+30</f>
        <v>604</v>
      </c>
      <c r="H260" s="447">
        <f t="shared" ref="H260:H267" si="86">F260/D260*100</f>
        <v>109.54198473282443</v>
      </c>
      <c r="I260" s="447">
        <f>G260/F260*100</f>
        <v>105.22648083623693</v>
      </c>
    </row>
    <row r="261" spans="1:9" ht="24.95" customHeight="1">
      <c r="A261" s="448"/>
      <c r="B261" s="449" t="s">
        <v>332</v>
      </c>
      <c r="C261" s="450" t="s">
        <v>6</v>
      </c>
      <c r="D261" s="436">
        <v>6650</v>
      </c>
      <c r="E261" s="436">
        <v>8300</v>
      </c>
      <c r="F261" s="436">
        <v>7000</v>
      </c>
      <c r="G261" s="436">
        <v>7200</v>
      </c>
      <c r="H261" s="447">
        <f t="shared" si="86"/>
        <v>105.26315789473684</v>
      </c>
      <c r="I261" s="447">
        <f t="shared" ref="I261:I267" si="87">G261/F261*100</f>
        <v>102.85714285714285</v>
      </c>
    </row>
    <row r="262" spans="1:9" ht="24.95" customHeight="1">
      <c r="A262" s="261"/>
      <c r="B262" s="451" t="s">
        <v>333</v>
      </c>
      <c r="C262" s="450" t="s">
        <v>6</v>
      </c>
      <c r="D262" s="436">
        <v>3600</v>
      </c>
      <c r="E262" s="436">
        <v>3650</v>
      </c>
      <c r="F262" s="436">
        <f>+F261*0.6</f>
        <v>4200</v>
      </c>
      <c r="G262" s="436">
        <f>+G261*0.6</f>
        <v>4320</v>
      </c>
      <c r="H262" s="447">
        <f t="shared" si="86"/>
        <v>116.66666666666667</v>
      </c>
      <c r="I262" s="447">
        <f t="shared" si="87"/>
        <v>102.85714285714285</v>
      </c>
    </row>
    <row r="263" spans="1:9" ht="24.95" customHeight="1">
      <c r="A263" s="261"/>
      <c r="B263" s="452" t="s">
        <v>303</v>
      </c>
      <c r="C263" s="450" t="s">
        <v>6</v>
      </c>
      <c r="D263" s="436">
        <v>400</v>
      </c>
      <c r="E263" s="436">
        <v>400</v>
      </c>
      <c r="F263" s="436">
        <v>400</v>
      </c>
      <c r="G263" s="436">
        <v>400</v>
      </c>
      <c r="H263" s="447">
        <f t="shared" si="86"/>
        <v>100</v>
      </c>
      <c r="I263" s="447">
        <f t="shared" si="87"/>
        <v>100</v>
      </c>
    </row>
    <row r="264" spans="1:9" ht="24.95" customHeight="1">
      <c r="A264" s="441"/>
      <c r="B264" s="449" t="s">
        <v>334</v>
      </c>
      <c r="C264" s="450" t="s">
        <v>5</v>
      </c>
      <c r="D264" s="436">
        <v>0.65</v>
      </c>
      <c r="E264" s="496">
        <v>0.75</v>
      </c>
      <c r="F264" s="436">
        <v>0.75</v>
      </c>
      <c r="G264" s="496">
        <v>1</v>
      </c>
      <c r="H264" s="447">
        <f t="shared" si="86"/>
        <v>115.38461538461537</v>
      </c>
      <c r="I264" s="447">
        <f t="shared" si="87"/>
        <v>133.33333333333331</v>
      </c>
    </row>
    <row r="265" spans="1:9" ht="24.95" customHeight="1">
      <c r="A265" s="261"/>
      <c r="B265" s="449" t="s">
        <v>335</v>
      </c>
      <c r="C265" s="450" t="s">
        <v>5</v>
      </c>
      <c r="D265" s="436">
        <v>0.15</v>
      </c>
      <c r="E265" s="496">
        <v>0.2</v>
      </c>
      <c r="F265" s="436">
        <v>0.2</v>
      </c>
      <c r="G265" s="496">
        <v>0.25</v>
      </c>
      <c r="H265" s="447">
        <f t="shared" si="86"/>
        <v>133.33333333333334</v>
      </c>
      <c r="I265" s="447">
        <f t="shared" si="87"/>
        <v>125</v>
      </c>
    </row>
    <row r="266" spans="1:9" ht="24.95" customHeight="1">
      <c r="A266" s="261"/>
      <c r="B266" s="449" t="s">
        <v>336</v>
      </c>
      <c r="C266" s="450" t="s">
        <v>6</v>
      </c>
      <c r="D266" s="436">
        <v>3800</v>
      </c>
      <c r="E266" s="436">
        <v>4000</v>
      </c>
      <c r="F266" s="436">
        <v>4000</v>
      </c>
      <c r="G266" s="436">
        <v>4200</v>
      </c>
      <c r="H266" s="447">
        <f t="shared" si="86"/>
        <v>105.26315789473684</v>
      </c>
      <c r="I266" s="447">
        <f t="shared" si="87"/>
        <v>105</v>
      </c>
    </row>
    <row r="267" spans="1:9" ht="35.1" customHeight="1">
      <c r="A267" s="261"/>
      <c r="B267" s="449" t="s">
        <v>337</v>
      </c>
      <c r="C267" s="450" t="s">
        <v>273</v>
      </c>
      <c r="D267" s="436">
        <v>5</v>
      </c>
      <c r="E267" s="436">
        <v>5</v>
      </c>
      <c r="F267" s="436">
        <v>5</v>
      </c>
      <c r="G267" s="436">
        <v>5</v>
      </c>
      <c r="H267" s="447">
        <f t="shared" si="86"/>
        <v>100</v>
      </c>
      <c r="I267" s="447">
        <f t="shared" si="87"/>
        <v>100</v>
      </c>
    </row>
    <row r="268" spans="1:9" ht="25.5" customHeight="1">
      <c r="A268" s="594" t="s">
        <v>198</v>
      </c>
      <c r="B268" s="413" t="s">
        <v>199</v>
      </c>
      <c r="C268" s="594"/>
      <c r="D268" s="414"/>
      <c r="E268" s="414"/>
      <c r="F268" s="414"/>
      <c r="G268" s="414"/>
      <c r="H268" s="594"/>
      <c r="I268" s="594"/>
    </row>
    <row r="269" spans="1:9" ht="37.5">
      <c r="A269" s="261"/>
      <c r="B269" s="415" t="s">
        <v>338</v>
      </c>
      <c r="C269" s="261" t="s">
        <v>200</v>
      </c>
      <c r="D269" s="274">
        <v>5</v>
      </c>
      <c r="E269" s="274">
        <v>6</v>
      </c>
      <c r="F269" s="274">
        <v>4</v>
      </c>
      <c r="G269" s="274">
        <v>4</v>
      </c>
      <c r="H269" s="447">
        <f>F269/D269*100</f>
        <v>80</v>
      </c>
      <c r="I269" s="447">
        <f>G269/F269*100</f>
        <v>100</v>
      </c>
    </row>
    <row r="270" spans="1:9" ht="35.1" customHeight="1">
      <c r="A270" s="441"/>
      <c r="B270" s="453" t="s">
        <v>201</v>
      </c>
      <c r="C270" s="441" t="s">
        <v>200</v>
      </c>
      <c r="D270" s="274">
        <v>0</v>
      </c>
      <c r="E270" s="274">
        <v>1</v>
      </c>
      <c r="F270" s="274">
        <v>0</v>
      </c>
      <c r="G270" s="274">
        <v>0</v>
      </c>
      <c r="H270" s="448" t="s">
        <v>52</v>
      </c>
      <c r="I270" s="448" t="s">
        <v>52</v>
      </c>
    </row>
    <row r="271" spans="1:9" ht="22.5" customHeight="1">
      <c r="A271" s="594" t="s">
        <v>202</v>
      </c>
      <c r="B271" s="413" t="s">
        <v>203</v>
      </c>
      <c r="C271" s="594"/>
      <c r="D271" s="414"/>
      <c r="E271" s="414"/>
      <c r="F271" s="414"/>
      <c r="G271" s="414"/>
      <c r="H271" s="594"/>
      <c r="I271" s="594"/>
    </row>
    <row r="272" spans="1:9" ht="21.95" customHeight="1">
      <c r="A272" s="261"/>
      <c r="B272" s="415" t="s">
        <v>339</v>
      </c>
      <c r="C272" s="261" t="s">
        <v>203</v>
      </c>
      <c r="D272" s="274">
        <v>841</v>
      </c>
      <c r="E272" s="274">
        <v>841</v>
      </c>
      <c r="F272" s="274">
        <v>122</v>
      </c>
      <c r="G272" s="274">
        <v>130</v>
      </c>
      <c r="H272" s="447">
        <f>F272/D272*100</f>
        <v>14.506539833531509</v>
      </c>
      <c r="I272" s="447">
        <f>G272/F272*100</f>
        <v>106.55737704918033</v>
      </c>
    </row>
    <row r="273" spans="1:9" ht="21.95" customHeight="1">
      <c r="A273" s="261"/>
      <c r="B273" s="415" t="s">
        <v>204</v>
      </c>
      <c r="C273" s="261" t="s">
        <v>203</v>
      </c>
      <c r="D273" s="274">
        <v>49</v>
      </c>
      <c r="E273" s="274">
        <v>59</v>
      </c>
      <c r="F273" s="274">
        <v>59</v>
      </c>
      <c r="G273" s="274">
        <f>59+8</f>
        <v>67</v>
      </c>
      <c r="H273" s="447">
        <f>F273/D273*100</f>
        <v>120.40816326530613</v>
      </c>
      <c r="I273" s="447">
        <f>G273/F273*100</f>
        <v>113.55932203389831</v>
      </c>
    </row>
    <row r="274" spans="1:9" s="422" customFormat="1" ht="30" customHeight="1">
      <c r="A274" s="418" t="s">
        <v>62</v>
      </c>
      <c r="B274" s="419" t="s">
        <v>444</v>
      </c>
      <c r="C274" s="420"/>
      <c r="D274" s="421"/>
      <c r="E274" s="421"/>
      <c r="F274" s="421"/>
      <c r="G274" s="421"/>
      <c r="H274" s="420"/>
      <c r="I274" s="420"/>
    </row>
    <row r="275" spans="1:9" ht="24.95" customHeight="1">
      <c r="A275" s="295">
        <v>1</v>
      </c>
      <c r="B275" s="454" t="s">
        <v>445</v>
      </c>
      <c r="C275" s="455" t="str">
        <f>'Bieu 6'!C13</f>
        <v>%</v>
      </c>
      <c r="D275" s="477">
        <f>'Bieu 6'!D13</f>
        <v>22.888598549488055</v>
      </c>
      <c r="E275" s="477">
        <f>'Bieu 6'!E13</f>
        <v>22.99830538802404</v>
      </c>
      <c r="F275" s="477">
        <f>'Bieu 6'!F13</f>
        <v>23.175017368421052</v>
      </c>
      <c r="G275" s="477">
        <f>'Bieu 6'!G13</f>
        <v>23.593005181347152</v>
      </c>
      <c r="H275" s="456" t="s">
        <v>52</v>
      </c>
      <c r="I275" s="456" t="s">
        <v>52</v>
      </c>
    </row>
    <row r="276" spans="1:9" ht="24.95" customHeight="1">
      <c r="A276" s="295">
        <v>2</v>
      </c>
      <c r="B276" s="454" t="s">
        <v>446</v>
      </c>
      <c r="C276" s="295" t="s">
        <v>35</v>
      </c>
      <c r="D276" s="457">
        <f>D175</f>
        <v>75</v>
      </c>
      <c r="E276" s="457">
        <f>E175</f>
        <v>79.891304347826093</v>
      </c>
      <c r="F276" s="457">
        <f>F175</f>
        <v>79.900000000000006</v>
      </c>
      <c r="G276" s="457">
        <f>G175</f>
        <v>84.6</v>
      </c>
      <c r="H276" s="456" t="s">
        <v>52</v>
      </c>
      <c r="I276" s="456" t="s">
        <v>52</v>
      </c>
    </row>
    <row r="277" spans="1:9" s="374" customFormat="1" ht="24.95" customHeight="1">
      <c r="A277" s="366"/>
      <c r="B277" s="458" t="s">
        <v>448</v>
      </c>
      <c r="C277" s="372" t="s">
        <v>35</v>
      </c>
      <c r="D277" s="372">
        <v>0</v>
      </c>
      <c r="E277" s="392">
        <v>1.1000000000000001</v>
      </c>
      <c r="F277" s="581">
        <v>0.5494505494505495</v>
      </c>
      <c r="G277" s="582">
        <v>3.2967032967032965</v>
      </c>
      <c r="H277" s="459" t="s">
        <v>52</v>
      </c>
      <c r="I277" s="459" t="s">
        <v>52</v>
      </c>
    </row>
  </sheetData>
  <mergeCells count="9">
    <mergeCell ref="A1:I1"/>
    <mergeCell ref="B2:I2"/>
    <mergeCell ref="G4:G5"/>
    <mergeCell ref="H4:I4"/>
    <mergeCell ref="A4:A5"/>
    <mergeCell ref="D4:D5"/>
    <mergeCell ref="E4:F4"/>
    <mergeCell ref="B4:B5"/>
    <mergeCell ref="C4:C5"/>
  </mergeCells>
  <phoneticPr fontId="0" type="noConversion"/>
  <printOptions horizontalCentered="1"/>
  <pageMargins left="0.70866141732283472" right="0.70866141732283472" top="0.6692913385826772" bottom="0.55118110236220474" header="0.35433070866141736" footer="0.31496062992125984"/>
  <pageSetup paperSize="9" scale="87" orientation="landscape" r:id="rId1"/>
  <headerFooter differentFirst="1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Zeros="0" zoomScale="70" zoomScaleNormal="70" zoomScaleSheetLayoutView="70" workbookViewId="0">
      <selection activeCell="K11" sqref="K11"/>
    </sheetView>
  </sheetViews>
  <sheetFormatPr defaultColWidth="12.5703125" defaultRowHeight="18.75"/>
  <cols>
    <col min="1" max="1" width="6" style="14" customWidth="1"/>
    <col min="2" max="2" width="41.42578125" style="16" customWidth="1"/>
    <col min="3" max="3" width="14.28515625" style="16" customWidth="1"/>
    <col min="4" max="4" width="12.7109375" style="16" customWidth="1"/>
    <col min="5" max="5" width="14.42578125" style="16" customWidth="1"/>
    <col min="6" max="6" width="14.5703125" style="16" customWidth="1"/>
    <col min="7" max="9" width="12.7109375" style="16" customWidth="1"/>
    <col min="10" max="16384" width="12.5703125" style="16"/>
  </cols>
  <sheetData>
    <row r="1" spans="1:11" s="157" customFormat="1" ht="25.15" customHeight="1">
      <c r="A1" s="615" t="s">
        <v>456</v>
      </c>
      <c r="B1" s="615"/>
      <c r="C1" s="615"/>
      <c r="D1" s="615"/>
      <c r="E1" s="615"/>
      <c r="F1" s="615"/>
      <c r="G1" s="615"/>
      <c r="H1" s="615"/>
      <c r="I1" s="615"/>
    </row>
    <row r="2" spans="1:11" ht="25.15" customHeight="1">
      <c r="A2" s="616" t="s">
        <v>449</v>
      </c>
      <c r="B2" s="616"/>
      <c r="C2" s="616"/>
      <c r="D2" s="616"/>
      <c r="E2" s="616"/>
      <c r="F2" s="616"/>
      <c r="G2" s="616"/>
      <c r="H2" s="616"/>
      <c r="I2" s="616"/>
    </row>
    <row r="3" spans="1:11" s="178" customFormat="1" ht="17.45" customHeight="1">
      <c r="A3" s="176"/>
      <c r="B3" s="177"/>
      <c r="C3" s="177"/>
      <c r="D3" s="177"/>
      <c r="E3" s="177"/>
      <c r="F3" s="177"/>
      <c r="G3" s="177"/>
      <c r="H3" s="177"/>
      <c r="I3" s="177"/>
    </row>
    <row r="4" spans="1:11" s="158" customFormat="1" ht="28.5" customHeight="1">
      <c r="A4" s="618" t="s">
        <v>37</v>
      </c>
      <c r="B4" s="617" t="s">
        <v>74</v>
      </c>
      <c r="C4" s="619" t="s">
        <v>34</v>
      </c>
      <c r="D4" s="607" t="s">
        <v>572</v>
      </c>
      <c r="E4" s="607" t="s">
        <v>573</v>
      </c>
      <c r="F4" s="607"/>
      <c r="G4" s="607" t="s">
        <v>574</v>
      </c>
      <c r="H4" s="602" t="s">
        <v>30</v>
      </c>
      <c r="I4" s="603"/>
    </row>
    <row r="5" spans="1:11" s="158" customFormat="1" ht="35.25" customHeight="1">
      <c r="A5" s="618"/>
      <c r="B5" s="618"/>
      <c r="C5" s="618"/>
      <c r="D5" s="607"/>
      <c r="E5" s="24" t="s">
        <v>33</v>
      </c>
      <c r="F5" s="24" t="s">
        <v>407</v>
      </c>
      <c r="G5" s="607"/>
      <c r="H5" s="148" t="s">
        <v>575</v>
      </c>
      <c r="I5" s="148" t="s">
        <v>576</v>
      </c>
    </row>
    <row r="6" spans="1:11" s="158" customFormat="1" ht="25.15" customHeight="1">
      <c r="A6" s="595"/>
      <c r="B6" s="595" t="s">
        <v>563</v>
      </c>
      <c r="C6" s="595" t="s">
        <v>35</v>
      </c>
      <c r="D6" s="110">
        <f>D7/'Bieu 3'!D7*100</f>
        <v>48.189181584579892</v>
      </c>
      <c r="E6" s="110">
        <f>E7/'Bieu 3'!E7*100</f>
        <v>47.403547783900976</v>
      </c>
      <c r="F6" s="110">
        <f>F7/'Bieu 3'!F7*100</f>
        <v>48.627530395823648</v>
      </c>
      <c r="G6" s="110">
        <f>G7/'Bieu 3'!G7*100</f>
        <v>50.351455414386557</v>
      </c>
      <c r="H6" s="25"/>
      <c r="I6" s="25"/>
    </row>
    <row r="7" spans="1:11" ht="24.95" customHeight="1">
      <c r="A7" s="179"/>
      <c r="B7" s="180" t="s">
        <v>212</v>
      </c>
      <c r="C7" s="181" t="s">
        <v>5</v>
      </c>
      <c r="D7" s="182">
        <f>D8+D9+D10+D11+D12</f>
        <v>62614.165000000001</v>
      </c>
      <c r="E7" s="182">
        <f t="shared" ref="E7:F7" si="0">E8+E9+E10+E11+E12</f>
        <v>72000</v>
      </c>
      <c r="F7" s="182">
        <f t="shared" si="0"/>
        <v>74400</v>
      </c>
      <c r="G7" s="182">
        <f>G8+G9+G10+G11+G12</f>
        <v>90000</v>
      </c>
      <c r="H7" s="174">
        <f t="shared" ref="H7:H8" si="1">F7/D7*100</f>
        <v>118.82295324069243</v>
      </c>
      <c r="I7" s="174">
        <f>G7/F7*100</f>
        <v>120.96774193548387</v>
      </c>
    </row>
    <row r="8" spans="1:11" ht="19.899999999999999" customHeight="1">
      <c r="A8" s="160">
        <v>1</v>
      </c>
      <c r="B8" s="183" t="s">
        <v>560</v>
      </c>
      <c r="C8" s="160" t="str">
        <f>C7</f>
        <v>Tỷ đồng</v>
      </c>
      <c r="D8" s="184">
        <v>8800</v>
      </c>
      <c r="E8" s="245">
        <v>9450</v>
      </c>
      <c r="F8" s="245">
        <v>11400</v>
      </c>
      <c r="G8" s="245">
        <v>13500</v>
      </c>
      <c r="H8" s="102">
        <f t="shared" si="1"/>
        <v>129.54545454545453</v>
      </c>
      <c r="I8" s="102">
        <f>G8/F8*100</f>
        <v>118.42105263157893</v>
      </c>
    </row>
    <row r="9" spans="1:11" ht="19.899999999999999" customHeight="1">
      <c r="A9" s="160">
        <v>2</v>
      </c>
      <c r="B9" s="183" t="s">
        <v>561</v>
      </c>
      <c r="C9" s="160" t="str">
        <f>C8</f>
        <v>Tỷ đồng</v>
      </c>
      <c r="D9" s="184">
        <v>296</v>
      </c>
      <c r="E9" s="245">
        <v>150</v>
      </c>
      <c r="F9" s="245">
        <v>150</v>
      </c>
      <c r="G9" s="245">
        <v>100</v>
      </c>
      <c r="H9" s="102">
        <f t="shared" ref="H9:H12" si="2">F9/D9*100</f>
        <v>50.675675675675677</v>
      </c>
      <c r="I9" s="102">
        <f>G9/F9*100</f>
        <v>66.666666666666657</v>
      </c>
      <c r="K9" s="243"/>
    </row>
    <row r="10" spans="1:11" ht="19.899999999999999" customHeight="1">
      <c r="A10" s="160">
        <v>3</v>
      </c>
      <c r="B10" s="473" t="s">
        <v>257</v>
      </c>
      <c r="C10" s="160" t="str">
        <f>C9</f>
        <v>Tỷ đồng</v>
      </c>
      <c r="D10" s="184">
        <v>14822.764999999999</v>
      </c>
      <c r="E10" s="184">
        <f>16500+900</f>
        <v>17400</v>
      </c>
      <c r="F10" s="184">
        <f>15400+800+300</f>
        <v>16500</v>
      </c>
      <c r="G10" s="184">
        <f>19400</f>
        <v>19400</v>
      </c>
      <c r="H10" s="102">
        <f t="shared" si="2"/>
        <v>111.3152640549857</v>
      </c>
      <c r="I10" s="102">
        <f>G10/F10*100</f>
        <v>117.57575757575758</v>
      </c>
    </row>
    <row r="11" spans="1:11" ht="19.899999999999999" customHeight="1">
      <c r="A11" s="160">
        <v>4</v>
      </c>
      <c r="B11" s="474" t="s">
        <v>562</v>
      </c>
      <c r="C11" s="160" t="str">
        <f t="shared" ref="C11:C12" si="3">C10</f>
        <v>Tỷ đồng</v>
      </c>
      <c r="D11" s="184">
        <v>9010</v>
      </c>
      <c r="E11" s="184">
        <f>9900+400</f>
        <v>10300</v>
      </c>
      <c r="F11" s="184">
        <f>12600+2000</f>
        <v>14600</v>
      </c>
      <c r="G11" s="184">
        <f>15000+5000</f>
        <v>20000</v>
      </c>
      <c r="H11" s="102">
        <f t="shared" si="2"/>
        <v>162.04217536071033</v>
      </c>
      <c r="I11" s="102">
        <f t="shared" ref="I11:I12" si="4">G11/F11*100</f>
        <v>136.98630136986301</v>
      </c>
    </row>
    <row r="12" spans="1:11" ht="19.899999999999999" customHeight="1">
      <c r="A12" s="160">
        <v>5</v>
      </c>
      <c r="B12" s="473" t="s">
        <v>258</v>
      </c>
      <c r="C12" s="160" t="str">
        <f t="shared" si="3"/>
        <v>Tỷ đồng</v>
      </c>
      <c r="D12" s="184">
        <v>29685.4</v>
      </c>
      <c r="E12" s="184">
        <f>34150+550</f>
        <v>34700</v>
      </c>
      <c r="F12" s="184">
        <v>31750</v>
      </c>
      <c r="G12" s="184">
        <v>37000</v>
      </c>
      <c r="H12" s="102">
        <f t="shared" si="2"/>
        <v>106.95493407533669</v>
      </c>
      <c r="I12" s="102">
        <f t="shared" si="4"/>
        <v>116.53543307086613</v>
      </c>
    </row>
    <row r="13" spans="1:11" ht="19.899999999999999" customHeight="1">
      <c r="A13" s="179"/>
      <c r="B13" s="180" t="s">
        <v>408</v>
      </c>
      <c r="C13" s="181" t="s">
        <v>35</v>
      </c>
      <c r="D13" s="182">
        <f>D14+D15+D16+D17+D18</f>
        <v>100</v>
      </c>
      <c r="E13" s="182">
        <f t="shared" ref="E13:G13" si="5">E14+E15+E16+E17+E18</f>
        <v>100</v>
      </c>
      <c r="F13" s="182">
        <f t="shared" si="5"/>
        <v>100</v>
      </c>
      <c r="G13" s="182">
        <f t="shared" si="5"/>
        <v>100</v>
      </c>
      <c r="H13" s="174"/>
      <c r="I13" s="174"/>
    </row>
    <row r="14" spans="1:11" ht="19.899999999999999" customHeight="1">
      <c r="A14" s="160">
        <v>1</v>
      </c>
      <c r="B14" s="475" t="s">
        <v>560</v>
      </c>
      <c r="C14" s="160" t="str">
        <f>C13</f>
        <v>%</v>
      </c>
      <c r="D14" s="185">
        <f>D8/D7*100</f>
        <v>14.054327802662545</v>
      </c>
      <c r="E14" s="185">
        <f>E8/E7*100</f>
        <v>13.125</v>
      </c>
      <c r="F14" s="185">
        <f>F8/F7*100</f>
        <v>15.32258064516129</v>
      </c>
      <c r="G14" s="185">
        <f>G8/G7*100</f>
        <v>15</v>
      </c>
      <c r="H14" s="186" t="s">
        <v>52</v>
      </c>
      <c r="I14" s="186" t="s">
        <v>52</v>
      </c>
    </row>
    <row r="15" spans="1:11" ht="19.899999999999999" customHeight="1">
      <c r="A15" s="160">
        <v>2</v>
      </c>
      <c r="B15" s="475" t="s">
        <v>561</v>
      </c>
      <c r="C15" s="160" t="str">
        <f>C14</f>
        <v>%</v>
      </c>
      <c r="D15" s="185">
        <f>D9/D7*100</f>
        <v>0.47273648063501283</v>
      </c>
      <c r="E15" s="185">
        <f>E9/E7*100</f>
        <v>0.20833333333333334</v>
      </c>
      <c r="F15" s="185">
        <f>F9/F7*100</f>
        <v>0.20161290322580644</v>
      </c>
      <c r="G15" s="185">
        <f>G9/G7*100</f>
        <v>0.1111111111111111</v>
      </c>
      <c r="H15" s="186" t="s">
        <v>52</v>
      </c>
      <c r="I15" s="186" t="s">
        <v>52</v>
      </c>
    </row>
    <row r="16" spans="1:11" ht="19.899999999999999" customHeight="1">
      <c r="A16" s="160">
        <v>3</v>
      </c>
      <c r="B16" s="475" t="s">
        <v>257</v>
      </c>
      <c r="C16" s="160" t="str">
        <f>C15</f>
        <v>%</v>
      </c>
      <c r="D16" s="185">
        <f>D10/D7*100</f>
        <v>23.673181619526506</v>
      </c>
      <c r="E16" s="185">
        <f>E10/E7*100</f>
        <v>24.166666666666668</v>
      </c>
      <c r="F16" s="185">
        <f>F10/F7*100</f>
        <v>22.177419354838708</v>
      </c>
      <c r="G16" s="185">
        <f>G10/G7*100</f>
        <v>21.555555555555557</v>
      </c>
      <c r="H16" s="186" t="s">
        <v>52</v>
      </c>
      <c r="I16" s="186" t="s">
        <v>52</v>
      </c>
    </row>
    <row r="17" spans="1:9" ht="19.899999999999999" customHeight="1">
      <c r="A17" s="160">
        <v>4</v>
      </c>
      <c r="B17" s="476" t="s">
        <v>562</v>
      </c>
      <c r="C17" s="160" t="str">
        <f t="shared" ref="C17:C18" si="6">C16</f>
        <v>%</v>
      </c>
      <c r="D17" s="185">
        <f>D11/D7*100</f>
        <v>14.389715170680628</v>
      </c>
      <c r="E17" s="185">
        <f>E11/E7*100</f>
        <v>14.305555555555555</v>
      </c>
      <c r="F17" s="185">
        <f>F11/F7*100</f>
        <v>19.623655913978492</v>
      </c>
      <c r="G17" s="185">
        <f>G11/G7*100</f>
        <v>22.222222222222221</v>
      </c>
      <c r="H17" s="186" t="s">
        <v>52</v>
      </c>
      <c r="I17" s="186" t="s">
        <v>52</v>
      </c>
    </row>
    <row r="18" spans="1:9" ht="19.899999999999999" customHeight="1">
      <c r="A18" s="160">
        <v>5</v>
      </c>
      <c r="B18" s="475" t="s">
        <v>258</v>
      </c>
      <c r="C18" s="160" t="str">
        <f t="shared" si="6"/>
        <v>%</v>
      </c>
      <c r="D18" s="185">
        <f>D12/D7*100</f>
        <v>47.410038926495304</v>
      </c>
      <c r="E18" s="185">
        <f>E12/E7*100</f>
        <v>48.194444444444443</v>
      </c>
      <c r="F18" s="185">
        <f>F12/F7*100</f>
        <v>42.674731182795696</v>
      </c>
      <c r="G18" s="185">
        <f>G12/G7*100</f>
        <v>41.111111111111107</v>
      </c>
      <c r="H18" s="186" t="s">
        <v>52</v>
      </c>
      <c r="I18" s="186" t="s">
        <v>52</v>
      </c>
    </row>
    <row r="19" spans="1:9" ht="19.899999999999999" customHeight="1">
      <c r="A19" s="179"/>
      <c r="B19" s="180" t="s">
        <v>450</v>
      </c>
      <c r="C19" s="181"/>
      <c r="D19" s="182"/>
      <c r="E19" s="182"/>
      <c r="F19" s="182"/>
      <c r="G19" s="182"/>
      <c r="H19" s="182"/>
      <c r="I19" s="182"/>
    </row>
    <row r="20" spans="1:9" ht="19.899999999999999" customHeight="1">
      <c r="A20" s="164"/>
      <c r="B20" s="165" t="s">
        <v>451</v>
      </c>
      <c r="C20" s="160" t="s">
        <v>452</v>
      </c>
      <c r="D20" s="233">
        <v>850</v>
      </c>
      <c r="E20" s="234" t="s">
        <v>504</v>
      </c>
      <c r="F20" s="233">
        <v>700</v>
      </c>
      <c r="G20" s="234">
        <v>850</v>
      </c>
      <c r="H20" s="102">
        <f t="shared" ref="H20" si="7">F20/D20*100</f>
        <v>82.35294117647058</v>
      </c>
      <c r="I20" s="102">
        <f>800/F20*100</f>
        <v>114.28571428571428</v>
      </c>
    </row>
    <row r="21" spans="1:9" ht="19.899999999999999" customHeight="1">
      <c r="A21" s="164"/>
      <c r="B21" s="165" t="s">
        <v>453</v>
      </c>
      <c r="C21" s="160" t="str">
        <f>C20</f>
        <v>Triệu USD</v>
      </c>
      <c r="D21" s="234">
        <v>1100</v>
      </c>
      <c r="E21" s="234" t="s">
        <v>503</v>
      </c>
      <c r="F21" s="234">
        <v>920</v>
      </c>
      <c r="G21" s="234">
        <v>1000</v>
      </c>
      <c r="H21" s="102">
        <f t="shared" ref="H21:H24" si="8">F21/D21*100</f>
        <v>83.636363636363626</v>
      </c>
      <c r="I21" s="102">
        <f>1200/F21*100</f>
        <v>130.43478260869566</v>
      </c>
    </row>
    <row r="22" spans="1:9" s="172" customFormat="1" ht="19.899999999999999" customHeight="1">
      <c r="A22" s="170"/>
      <c r="B22" s="171" t="s">
        <v>32</v>
      </c>
      <c r="C22" s="173"/>
      <c r="D22" s="235"/>
      <c r="E22" s="235"/>
      <c r="F22" s="235"/>
      <c r="G22" s="235"/>
      <c r="H22" s="188"/>
      <c r="I22" s="188"/>
    </row>
    <row r="23" spans="1:9" s="172" customFormat="1" ht="19.899999999999999" customHeight="1">
      <c r="A23" s="170"/>
      <c r="B23" s="171" t="s">
        <v>454</v>
      </c>
      <c r="C23" s="173" t="str">
        <f>C21</f>
        <v>Triệu USD</v>
      </c>
      <c r="D23" s="235">
        <v>900</v>
      </c>
      <c r="E23" s="235">
        <v>900</v>
      </c>
      <c r="F23" s="235">
        <v>900</v>
      </c>
      <c r="G23" s="235">
        <v>1200</v>
      </c>
      <c r="H23" s="102">
        <f t="shared" si="8"/>
        <v>100</v>
      </c>
      <c r="I23" s="102">
        <f>G23/F23*100</f>
        <v>133.33333333333331</v>
      </c>
    </row>
    <row r="24" spans="1:9" s="172" customFormat="1" ht="19.899999999999999" customHeight="1">
      <c r="A24" s="170"/>
      <c r="B24" s="171" t="s">
        <v>455</v>
      </c>
      <c r="C24" s="173" t="str">
        <f>C21</f>
        <v>Triệu USD</v>
      </c>
      <c r="D24" s="235">
        <f t="shared" ref="D24" si="9">D21-D23</f>
        <v>200</v>
      </c>
      <c r="E24" s="235">
        <v>300</v>
      </c>
      <c r="F24" s="235">
        <v>300</v>
      </c>
      <c r="G24" s="235">
        <v>500</v>
      </c>
      <c r="H24" s="102">
        <f t="shared" si="8"/>
        <v>150</v>
      </c>
      <c r="I24" s="102">
        <f>G24/F24*100</f>
        <v>166.66666666666669</v>
      </c>
    </row>
    <row r="25" spans="1:9">
      <c r="H25" s="159"/>
      <c r="I25" s="159"/>
    </row>
  </sheetData>
  <sheetProtection formatCells="0" formatColumns="0" formatRows="0" insertColumns="0" insertRows="0" insertHyperlinks="0" deleteColumns="0" deleteRows="0" sort="0" autoFilter="0" pivotTables="0"/>
  <mergeCells count="9">
    <mergeCell ref="H4:I4"/>
    <mergeCell ref="A1:I1"/>
    <mergeCell ref="A2:I2"/>
    <mergeCell ref="G4:G5"/>
    <mergeCell ref="B4:B5"/>
    <mergeCell ref="C4:C5"/>
    <mergeCell ref="A4:A5"/>
    <mergeCell ref="D4:D5"/>
    <mergeCell ref="E4:F4"/>
  </mergeCells>
  <phoneticPr fontId="158" type="noConversion"/>
  <printOptions horizontalCentered="1"/>
  <pageMargins left="0.35433070866141736" right="0.35433070866141736" top="0.47244094488188981" bottom="0.47244094488188981" header="0.39370078740157483" footer="0.39370078740157483"/>
  <pageSetup paperSize="9" scale="95" orientation="landscape" r:id="rId1"/>
  <headerFooter alignWithMargins="0">
    <oddHeader xml:space="preserve">&amp;R&amp;".VnTime,Regular"&amp;14
</oddHeader>
    <oddFooter xml:space="preserve">&amp;C&amp;8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7"/>
  <sheetViews>
    <sheetView zoomScale="10" zoomScaleNormal="10" zoomScaleSheetLayoutView="70" workbookViewId="0">
      <selection activeCell="K164" sqref="K164"/>
    </sheetView>
  </sheetViews>
  <sheetFormatPr defaultColWidth="9.140625" defaultRowHeight="18.75"/>
  <cols>
    <col min="1" max="1" width="5.28515625" style="23" customWidth="1"/>
    <col min="2" max="2" width="65" style="23" customWidth="1"/>
    <col min="3" max="3" width="13.5703125" style="61" customWidth="1"/>
    <col min="4" max="4" width="12.7109375" style="61" customWidth="1"/>
    <col min="5" max="5" width="12.5703125" style="61" customWidth="1"/>
    <col min="6" max="6" width="13.5703125" style="61" customWidth="1"/>
    <col min="7" max="7" width="12.5703125" style="23" customWidth="1"/>
    <col min="8" max="8" width="12.28515625" style="62" customWidth="1"/>
    <col min="9" max="9" width="12" style="62" customWidth="1"/>
    <col min="10" max="16384" width="9.140625" style="23"/>
  </cols>
  <sheetData>
    <row r="1" spans="1:12" ht="25.15" customHeight="1">
      <c r="A1" s="601" t="s">
        <v>458</v>
      </c>
      <c r="B1" s="601"/>
      <c r="C1" s="601"/>
      <c r="D1" s="601"/>
      <c r="E1" s="601"/>
      <c r="F1" s="601"/>
      <c r="G1" s="601"/>
      <c r="H1" s="601"/>
      <c r="I1" s="601"/>
    </row>
    <row r="2" spans="1:12" ht="25.15" customHeight="1">
      <c r="A2" s="604" t="s">
        <v>457</v>
      </c>
      <c r="B2" s="604"/>
      <c r="C2" s="604"/>
      <c r="D2" s="604"/>
      <c r="E2" s="604"/>
      <c r="F2" s="604"/>
      <c r="G2" s="604"/>
      <c r="H2" s="604"/>
      <c r="I2" s="604"/>
    </row>
    <row r="3" spans="1:12" ht="14.25" customHeight="1"/>
    <row r="4" spans="1:12" ht="25.5" customHeight="1">
      <c r="A4" s="605" t="s">
        <v>37</v>
      </c>
      <c r="B4" s="606" t="s">
        <v>31</v>
      </c>
      <c r="C4" s="606" t="s">
        <v>34</v>
      </c>
      <c r="D4" s="607" t="s">
        <v>572</v>
      </c>
      <c r="E4" s="607" t="s">
        <v>573</v>
      </c>
      <c r="F4" s="607"/>
      <c r="G4" s="607" t="s">
        <v>574</v>
      </c>
      <c r="H4" s="602" t="s">
        <v>30</v>
      </c>
      <c r="I4" s="603"/>
    </row>
    <row r="5" spans="1:12" ht="41.25" customHeight="1">
      <c r="A5" s="605"/>
      <c r="B5" s="607"/>
      <c r="C5" s="605"/>
      <c r="D5" s="607"/>
      <c r="E5" s="24" t="s">
        <v>33</v>
      </c>
      <c r="F5" s="24" t="s">
        <v>407</v>
      </c>
      <c r="G5" s="607"/>
      <c r="H5" s="148" t="s">
        <v>575</v>
      </c>
      <c r="I5" s="148" t="s">
        <v>576</v>
      </c>
    </row>
    <row r="6" spans="1:12" ht="26.25" customHeight="1">
      <c r="A6" s="196">
        <v>1</v>
      </c>
      <c r="B6" s="197" t="s">
        <v>15</v>
      </c>
      <c r="C6" s="198"/>
      <c r="D6" s="216"/>
      <c r="E6" s="216"/>
      <c r="F6" s="216"/>
      <c r="G6" s="220"/>
      <c r="H6" s="219"/>
      <c r="I6" s="219"/>
    </row>
    <row r="7" spans="1:12" ht="21.95" customHeight="1">
      <c r="A7" s="163"/>
      <c r="B7" s="57" t="s">
        <v>67</v>
      </c>
      <c r="C7" s="591" t="s">
        <v>463</v>
      </c>
      <c r="D7" s="255">
        <v>1875.2</v>
      </c>
      <c r="E7" s="38">
        <v>1900.14</v>
      </c>
      <c r="F7" s="38">
        <v>1900</v>
      </c>
      <c r="G7" s="38">
        <v>1930</v>
      </c>
      <c r="H7" s="167">
        <f t="shared" ref="H7:H8" si="0">F7/D7*100</f>
        <v>101.32252559726962</v>
      </c>
      <c r="I7" s="167">
        <f t="shared" ref="I7:I8" si="1">G7/F7*100</f>
        <v>101.57894736842105</v>
      </c>
    </row>
    <row r="8" spans="1:12" ht="21.95" customHeight="1">
      <c r="A8" s="63"/>
      <c r="B8" s="64" t="s">
        <v>351</v>
      </c>
      <c r="C8" s="24" t="s">
        <v>291</v>
      </c>
      <c r="D8" s="65">
        <v>1533.578</v>
      </c>
      <c r="E8" s="28">
        <f>E7-E9</f>
        <v>1554.076914</v>
      </c>
      <c r="F8" s="28">
        <f>F7-F9</f>
        <v>1529.6746699999999</v>
      </c>
      <c r="G8" s="28">
        <f>G7-G9</f>
        <v>1552.2681634</v>
      </c>
      <c r="H8" s="102">
        <f t="shared" si="0"/>
        <v>99.745475613239094</v>
      </c>
      <c r="I8" s="102">
        <f t="shared" si="1"/>
        <v>101.47701297819098</v>
      </c>
    </row>
    <row r="9" spans="1:12" ht="21.95" customHeight="1">
      <c r="A9" s="63"/>
      <c r="B9" s="64" t="s">
        <v>352</v>
      </c>
      <c r="C9" s="24" t="s">
        <v>291</v>
      </c>
      <c r="D9" s="40">
        <f>D7-D8</f>
        <v>341.62200000000007</v>
      </c>
      <c r="E9" s="39">
        <f>D9*1.013</f>
        <v>346.06308600000006</v>
      </c>
      <c r="F9" s="39">
        <v>370.32533000000001</v>
      </c>
      <c r="G9" s="39">
        <f>F9*1.02</f>
        <v>377.73183660000001</v>
      </c>
      <c r="H9" s="102">
        <f t="shared" ref="H9:H17" si="2">F9/D9*100</f>
        <v>108.40207305150136</v>
      </c>
      <c r="I9" s="102">
        <f t="shared" ref="I9:I17" si="3">G9/F9*100</f>
        <v>102</v>
      </c>
    </row>
    <row r="10" spans="1:12" s="48" customFormat="1" ht="21.95" customHeight="1">
      <c r="A10" s="67"/>
      <c r="B10" s="64" t="s">
        <v>288</v>
      </c>
      <c r="C10" s="24" t="s">
        <v>291</v>
      </c>
      <c r="D10" s="31">
        <v>429.20699999999999</v>
      </c>
      <c r="E10" s="39">
        <v>437</v>
      </c>
      <c r="F10" s="39">
        <v>440.32533000000001</v>
      </c>
      <c r="G10" s="39">
        <v>455.34500000000003</v>
      </c>
      <c r="H10" s="102">
        <f t="shared" si="2"/>
        <v>102.59043538432505</v>
      </c>
      <c r="I10" s="102">
        <f t="shared" si="3"/>
        <v>103.41103928770121</v>
      </c>
      <c r="J10" s="47"/>
      <c r="K10" s="48">
        <f>D9*1.015</f>
        <v>346.74633000000006</v>
      </c>
      <c r="L10" s="48">
        <v>15.279</v>
      </c>
    </row>
    <row r="11" spans="1:12" ht="21.95" customHeight="1">
      <c r="A11" s="63"/>
      <c r="B11" s="64" t="s">
        <v>99</v>
      </c>
      <c r="C11" s="24" t="s">
        <v>291</v>
      </c>
      <c r="D11" s="40">
        <v>263.06700000000001</v>
      </c>
      <c r="E11" s="66">
        <v>266.10000000000002</v>
      </c>
      <c r="F11" s="66">
        <v>266.10000000000002</v>
      </c>
      <c r="G11" s="66">
        <v>268.99200000000002</v>
      </c>
      <c r="H11" s="102">
        <f t="shared" si="2"/>
        <v>101.15293822486287</v>
      </c>
      <c r="I11" s="102">
        <f t="shared" si="3"/>
        <v>101.08680947012401</v>
      </c>
      <c r="L11" s="23">
        <v>8.3000000000000007</v>
      </c>
    </row>
    <row r="12" spans="1:12" ht="21.95" customHeight="1">
      <c r="A12" s="63"/>
      <c r="B12" s="64" t="s">
        <v>567</v>
      </c>
      <c r="C12" s="24" t="s">
        <v>35</v>
      </c>
      <c r="D12" s="236">
        <f>D9/D7*100</f>
        <v>18.217896757679185</v>
      </c>
      <c r="E12" s="236">
        <f>E9/E7*100</f>
        <v>18.212504657551552</v>
      </c>
      <c r="F12" s="236">
        <f>F9/F7*100</f>
        <v>19.490806842105261</v>
      </c>
      <c r="G12" s="236">
        <f>G9/G7*100</f>
        <v>19.571597751295336</v>
      </c>
      <c r="H12" s="186" t="s">
        <v>52</v>
      </c>
      <c r="I12" s="186" t="s">
        <v>52</v>
      </c>
      <c r="L12" s="23">
        <f>L11+L10</f>
        <v>23.579000000000001</v>
      </c>
    </row>
    <row r="13" spans="1:12" ht="21.95" customHeight="1">
      <c r="A13" s="63"/>
      <c r="B13" s="64" t="s">
        <v>100</v>
      </c>
      <c r="C13" s="24" t="s">
        <v>35</v>
      </c>
      <c r="D13" s="236">
        <f>D10/D7*100</f>
        <v>22.888598549488055</v>
      </c>
      <c r="E13" s="236">
        <f>E10/E7*100</f>
        <v>22.99830538802404</v>
      </c>
      <c r="F13" s="236">
        <f>F10/F7*100</f>
        <v>23.175017368421052</v>
      </c>
      <c r="G13" s="236">
        <f>G10/G7*100</f>
        <v>23.593005181347152</v>
      </c>
      <c r="H13" s="186" t="s">
        <v>52</v>
      </c>
      <c r="I13" s="186" t="s">
        <v>52</v>
      </c>
      <c r="K13" s="23">
        <f>L12+K10</f>
        <v>370.32533000000006</v>
      </c>
      <c r="L13" s="23">
        <f>K13+70</f>
        <v>440.32533000000006</v>
      </c>
    </row>
    <row r="14" spans="1:12" ht="21.95" customHeight="1">
      <c r="A14" s="63"/>
      <c r="B14" s="64" t="s">
        <v>69</v>
      </c>
      <c r="C14" s="71" t="s">
        <v>1</v>
      </c>
      <c r="D14" s="194">
        <v>0.05</v>
      </c>
      <c r="E14" s="69">
        <v>0.05</v>
      </c>
      <c r="F14" s="69">
        <v>0.05</v>
      </c>
      <c r="G14" s="69">
        <v>0.05</v>
      </c>
      <c r="H14" s="186" t="s">
        <v>52</v>
      </c>
      <c r="I14" s="186" t="s">
        <v>52</v>
      </c>
      <c r="K14" s="23">
        <f>G9+70*1.01155</f>
        <v>448.54033659999999</v>
      </c>
    </row>
    <row r="15" spans="1:12" ht="21.95" customHeight="1">
      <c r="A15" s="63"/>
      <c r="B15" s="64" t="s">
        <v>68</v>
      </c>
      <c r="C15" s="42" t="s">
        <v>35</v>
      </c>
      <c r="D15" s="74">
        <v>1.1399999999999999</v>
      </c>
      <c r="E15" s="195">
        <v>1.1399999999999999</v>
      </c>
      <c r="F15" s="195">
        <v>1.1399999999999999</v>
      </c>
      <c r="G15" s="195">
        <v>1.1399999999999999</v>
      </c>
      <c r="H15" s="186" t="s">
        <v>52</v>
      </c>
      <c r="I15" s="186" t="s">
        <v>52</v>
      </c>
    </row>
    <row r="16" spans="1:12" ht="21.95" customHeight="1">
      <c r="A16" s="63"/>
      <c r="B16" s="63" t="s">
        <v>70</v>
      </c>
      <c r="C16" s="42" t="s">
        <v>35</v>
      </c>
      <c r="D16" s="40">
        <v>116.5</v>
      </c>
      <c r="E16" s="66">
        <v>116</v>
      </c>
      <c r="F16" s="66">
        <v>117.5</v>
      </c>
      <c r="G16" s="66">
        <v>115.7</v>
      </c>
      <c r="H16" s="186" t="s">
        <v>52</v>
      </c>
      <c r="I16" s="186" t="s">
        <v>52</v>
      </c>
    </row>
    <row r="17" spans="1:11" ht="21.95" customHeight="1">
      <c r="A17" s="63"/>
      <c r="B17" s="63" t="s">
        <v>461</v>
      </c>
      <c r="C17" s="42" t="s">
        <v>462</v>
      </c>
      <c r="D17" s="70">
        <v>73.599999999999994</v>
      </c>
      <c r="E17" s="70">
        <v>73.5</v>
      </c>
      <c r="F17" s="72">
        <v>73.650000000000006</v>
      </c>
      <c r="G17" s="70">
        <v>73.7</v>
      </c>
      <c r="H17" s="102">
        <f t="shared" si="2"/>
        <v>100.06793478260872</v>
      </c>
      <c r="I17" s="102">
        <f t="shared" si="3"/>
        <v>100.06788866259335</v>
      </c>
    </row>
    <row r="18" spans="1:11" ht="25.5" customHeight="1">
      <c r="A18" s="196">
        <v>2</v>
      </c>
      <c r="B18" s="217" t="s">
        <v>16</v>
      </c>
      <c r="C18" s="218"/>
      <c r="D18" s="219"/>
      <c r="E18" s="220"/>
      <c r="F18" s="219"/>
      <c r="G18" s="220"/>
      <c r="H18" s="219"/>
      <c r="I18" s="219"/>
    </row>
    <row r="19" spans="1:11" ht="21.95" customHeight="1">
      <c r="A19" s="63"/>
      <c r="B19" s="75" t="s">
        <v>353</v>
      </c>
      <c r="C19" s="24" t="s">
        <v>467</v>
      </c>
      <c r="D19" s="66">
        <v>1151.5</v>
      </c>
      <c r="E19" s="40">
        <v>1179.604685</v>
      </c>
      <c r="F19" s="40">
        <v>1179.604685</v>
      </c>
      <c r="G19" s="485">
        <v>1207.9000000000001</v>
      </c>
      <c r="H19" s="102">
        <f t="shared" ref="H19:H20" si="4">F19/D19*100</f>
        <v>102.44070212765956</v>
      </c>
      <c r="I19" s="102">
        <f t="shared" ref="I19:I20" si="5">G19/F19*100</f>
        <v>102.39871164974224</v>
      </c>
    </row>
    <row r="20" spans="1:11" ht="21.95" customHeight="1">
      <c r="A20" s="63"/>
      <c r="B20" s="76" t="s">
        <v>464</v>
      </c>
      <c r="C20" s="24" t="s">
        <v>467</v>
      </c>
      <c r="D20" s="40">
        <f>D21+D22+D23</f>
        <v>960.09999999999991</v>
      </c>
      <c r="E20" s="40">
        <f>E21+E22+E23</f>
        <v>988</v>
      </c>
      <c r="F20" s="40">
        <f>F21+F22+F23</f>
        <v>988.00800000000004</v>
      </c>
      <c r="G20" s="488">
        <f>G21+G22+G23</f>
        <v>1010.5</v>
      </c>
      <c r="H20" s="102">
        <f t="shared" si="4"/>
        <v>102.90678054369337</v>
      </c>
      <c r="I20" s="102">
        <f t="shared" si="5"/>
        <v>102.27649978542684</v>
      </c>
      <c r="K20" s="23">
        <v>945.3</v>
      </c>
    </row>
    <row r="21" spans="1:11" ht="21.95" customHeight="1">
      <c r="A21" s="63"/>
      <c r="B21" s="76" t="s">
        <v>465</v>
      </c>
      <c r="C21" s="24" t="s">
        <v>467</v>
      </c>
      <c r="D21" s="65">
        <v>291.89999999999998</v>
      </c>
      <c r="E21" s="65">
        <v>287.5</v>
      </c>
      <c r="F21" s="65">
        <v>287.50799999999998</v>
      </c>
      <c r="G21" s="488">
        <v>254.7</v>
      </c>
      <c r="H21" s="102">
        <f t="shared" ref="H21:H36" si="6">F21/D21*100</f>
        <v>98.495375128468652</v>
      </c>
      <c r="I21" s="102">
        <f t="shared" ref="I21:I36" si="7">G21/F21*100</f>
        <v>88.588839267081269</v>
      </c>
      <c r="K21" s="23">
        <v>276</v>
      </c>
    </row>
    <row r="22" spans="1:11" ht="21.95" customHeight="1">
      <c r="A22" s="63"/>
      <c r="B22" s="76" t="s">
        <v>105</v>
      </c>
      <c r="C22" s="24" t="s">
        <v>467</v>
      </c>
      <c r="D22" s="65">
        <v>390.7</v>
      </c>
      <c r="E22" s="65">
        <v>414</v>
      </c>
      <c r="F22" s="65">
        <v>414</v>
      </c>
      <c r="G22" s="488">
        <v>446.6</v>
      </c>
      <c r="H22" s="102">
        <f t="shared" si="6"/>
        <v>105.96365497824418</v>
      </c>
      <c r="I22" s="102">
        <f t="shared" si="7"/>
        <v>107.8743961352657</v>
      </c>
      <c r="K22" s="570">
        <f>D21-K21</f>
        <v>15.899999999999977</v>
      </c>
    </row>
    <row r="23" spans="1:11" ht="21.95" customHeight="1">
      <c r="A23" s="63"/>
      <c r="B23" s="76" t="s">
        <v>106</v>
      </c>
      <c r="C23" s="24" t="s">
        <v>467</v>
      </c>
      <c r="D23" s="65">
        <v>277.5</v>
      </c>
      <c r="E23" s="65">
        <v>286.5</v>
      </c>
      <c r="F23" s="65">
        <v>286.5</v>
      </c>
      <c r="G23" s="488">
        <v>309.2</v>
      </c>
      <c r="H23" s="102">
        <f t="shared" si="6"/>
        <v>103.24324324324323</v>
      </c>
      <c r="I23" s="102">
        <f t="shared" si="7"/>
        <v>107.92321116928447</v>
      </c>
    </row>
    <row r="24" spans="1:11" ht="21.95" customHeight="1">
      <c r="A24" s="63"/>
      <c r="B24" s="76" t="s">
        <v>354</v>
      </c>
      <c r="C24" s="42" t="s">
        <v>35</v>
      </c>
      <c r="D24" s="31">
        <f t="shared" ref="D24:E24" si="8">D25+D26+D27</f>
        <v>100.00000000000001</v>
      </c>
      <c r="E24" s="31">
        <f t="shared" si="8"/>
        <v>100</v>
      </c>
      <c r="F24" s="31">
        <f t="shared" ref="F24" si="9">F25+F26+F27</f>
        <v>100</v>
      </c>
      <c r="G24" s="490">
        <v>100</v>
      </c>
      <c r="H24" s="186" t="s">
        <v>52</v>
      </c>
      <c r="I24" s="186" t="s">
        <v>52</v>
      </c>
    </row>
    <row r="25" spans="1:11" ht="21.95" customHeight="1">
      <c r="A25" s="63"/>
      <c r="B25" s="76" t="s">
        <v>104</v>
      </c>
      <c r="C25" s="42" t="s">
        <v>35</v>
      </c>
      <c r="D25" s="40">
        <f t="shared" ref="D25:E25" si="10">D21/D20*100</f>
        <v>30.403083012186233</v>
      </c>
      <c r="E25" s="40">
        <f t="shared" si="10"/>
        <v>29.099190283400812</v>
      </c>
      <c r="F25" s="40">
        <f t="shared" ref="F25" si="11">F21/F20*100</f>
        <v>29.099764374377536</v>
      </c>
      <c r="G25" s="485">
        <f>G21/G20*100</f>
        <v>25.205343889163778</v>
      </c>
      <c r="H25" s="186" t="s">
        <v>52</v>
      </c>
      <c r="I25" s="186" t="s">
        <v>52</v>
      </c>
    </row>
    <row r="26" spans="1:11" ht="21.95" customHeight="1">
      <c r="A26" s="63"/>
      <c r="B26" s="76" t="s">
        <v>105</v>
      </c>
      <c r="C26" s="42" t="s">
        <v>35</v>
      </c>
      <c r="D26" s="40">
        <f t="shared" ref="D26:E26" si="12">D22/D20*100</f>
        <v>40.693677741901894</v>
      </c>
      <c r="E26" s="40">
        <f t="shared" si="12"/>
        <v>41.902834008097166</v>
      </c>
      <c r="F26" s="40">
        <f t="shared" ref="F26" si="13">F22/F20*100</f>
        <v>41.902494716641968</v>
      </c>
      <c r="G26" s="485">
        <f>G22/G20*100</f>
        <v>44.195942602671948</v>
      </c>
      <c r="H26" s="186" t="s">
        <v>52</v>
      </c>
      <c r="I26" s="186" t="s">
        <v>52</v>
      </c>
    </row>
    <row r="27" spans="1:11" ht="21.95" customHeight="1">
      <c r="A27" s="63"/>
      <c r="B27" s="76" t="s">
        <v>106</v>
      </c>
      <c r="C27" s="42" t="s">
        <v>35</v>
      </c>
      <c r="D27" s="40">
        <f t="shared" ref="D27:E27" si="14">D23/D20*100</f>
        <v>28.903239245911887</v>
      </c>
      <c r="E27" s="40">
        <f t="shared" si="14"/>
        <v>28.997975708502022</v>
      </c>
      <c r="F27" s="40">
        <f t="shared" ref="F27" si="15">F23/F20*100</f>
        <v>28.997740908980489</v>
      </c>
      <c r="G27" s="485">
        <f>G23/G20*100</f>
        <v>30.59871350816427</v>
      </c>
      <c r="H27" s="186" t="s">
        <v>52</v>
      </c>
      <c r="I27" s="186" t="s">
        <v>52</v>
      </c>
    </row>
    <row r="28" spans="1:11" ht="21.95" customHeight="1">
      <c r="A28" s="63"/>
      <c r="B28" s="75" t="s">
        <v>355</v>
      </c>
      <c r="C28" s="78" t="s">
        <v>6</v>
      </c>
      <c r="D28" s="28">
        <v>35000</v>
      </c>
      <c r="E28" s="28">
        <v>32000</v>
      </c>
      <c r="F28" s="28">
        <v>32000</v>
      </c>
      <c r="G28" s="490">
        <v>32200</v>
      </c>
      <c r="H28" s="102">
        <f t="shared" si="6"/>
        <v>91.428571428571431</v>
      </c>
      <c r="I28" s="102">
        <f t="shared" si="7"/>
        <v>100.62500000000001</v>
      </c>
    </row>
    <row r="29" spans="1:11" s="48" customFormat="1" ht="21.95" customHeight="1">
      <c r="A29" s="67"/>
      <c r="B29" s="79" t="s">
        <v>107</v>
      </c>
      <c r="C29" s="80" t="s">
        <v>6</v>
      </c>
      <c r="D29" s="82">
        <v>17600</v>
      </c>
      <c r="E29" s="82">
        <v>16200</v>
      </c>
      <c r="F29" s="82">
        <v>16200</v>
      </c>
      <c r="G29" s="490">
        <v>16300</v>
      </c>
      <c r="H29" s="102">
        <f t="shared" si="6"/>
        <v>92.045454545454547</v>
      </c>
      <c r="I29" s="102">
        <f t="shared" si="7"/>
        <v>100.61728395061729</v>
      </c>
    </row>
    <row r="30" spans="1:11" s="48" customFormat="1" ht="37.5">
      <c r="A30" s="45"/>
      <c r="B30" s="83" t="s">
        <v>108</v>
      </c>
      <c r="C30" s="80" t="s">
        <v>6</v>
      </c>
      <c r="D30" s="155">
        <v>1600</v>
      </c>
      <c r="E30" s="82">
        <v>1500</v>
      </c>
      <c r="F30" s="82">
        <v>1500</v>
      </c>
      <c r="G30" s="490">
        <v>2000</v>
      </c>
      <c r="H30" s="102">
        <f t="shared" si="6"/>
        <v>93.75</v>
      </c>
      <c r="I30" s="102">
        <f t="shared" si="7"/>
        <v>133.33333333333331</v>
      </c>
    </row>
    <row r="31" spans="1:11" ht="21.95" customHeight="1">
      <c r="A31" s="63"/>
      <c r="B31" s="76" t="s">
        <v>356</v>
      </c>
      <c r="C31" s="42" t="s">
        <v>35</v>
      </c>
      <c r="D31" s="58">
        <v>72</v>
      </c>
      <c r="E31" s="24" t="s">
        <v>468</v>
      </c>
      <c r="F31" s="58">
        <v>74</v>
      </c>
      <c r="G31" s="484" t="s">
        <v>579</v>
      </c>
      <c r="H31" s="186" t="s">
        <v>52</v>
      </c>
      <c r="I31" s="186" t="s">
        <v>52</v>
      </c>
    </row>
    <row r="32" spans="1:11" s="48" customFormat="1" ht="21.95" customHeight="1">
      <c r="A32" s="67"/>
      <c r="B32" s="86" t="s">
        <v>259</v>
      </c>
      <c r="C32" s="60"/>
      <c r="D32" s="68"/>
      <c r="E32" s="87"/>
      <c r="F32" s="87"/>
      <c r="G32" s="485"/>
      <c r="H32" s="186"/>
      <c r="I32" s="186"/>
    </row>
    <row r="33" spans="1:9" s="91" customFormat="1" ht="37.5">
      <c r="A33" s="89"/>
      <c r="B33" s="90" t="s">
        <v>466</v>
      </c>
      <c r="C33" s="60" t="s">
        <v>35</v>
      </c>
      <c r="D33" s="68">
        <v>26.7</v>
      </c>
      <c r="E33" s="87">
        <v>28.1</v>
      </c>
      <c r="F33" s="87">
        <v>28.1</v>
      </c>
      <c r="G33" s="493">
        <v>30</v>
      </c>
      <c r="H33" s="186" t="s">
        <v>52</v>
      </c>
      <c r="I33" s="186" t="s">
        <v>52</v>
      </c>
    </row>
    <row r="34" spans="1:9" s="147" customFormat="1" ht="37.5">
      <c r="A34" s="54"/>
      <c r="B34" s="105" t="s">
        <v>357</v>
      </c>
      <c r="C34" s="24" t="s">
        <v>35</v>
      </c>
      <c r="D34" s="65">
        <v>2.9</v>
      </c>
      <c r="E34" s="93">
        <v>2.9</v>
      </c>
      <c r="F34" s="93">
        <v>2.8</v>
      </c>
      <c r="G34" s="485">
        <v>2.65</v>
      </c>
      <c r="H34" s="186" t="s">
        <v>52</v>
      </c>
      <c r="I34" s="186" t="s">
        <v>52</v>
      </c>
    </row>
    <row r="35" spans="1:9" ht="37.5">
      <c r="A35" s="63"/>
      <c r="B35" s="76" t="s">
        <v>358</v>
      </c>
      <c r="C35" s="42" t="s">
        <v>35</v>
      </c>
      <c r="D35" s="70">
        <v>93.4</v>
      </c>
      <c r="E35" s="70">
        <v>93.5</v>
      </c>
      <c r="F35" s="70">
        <v>93.5</v>
      </c>
      <c r="G35" s="485">
        <v>93.5</v>
      </c>
      <c r="H35" s="186" t="s">
        <v>52</v>
      </c>
      <c r="I35" s="186" t="s">
        <v>52</v>
      </c>
    </row>
    <row r="36" spans="1:9" ht="37.5">
      <c r="A36" s="63"/>
      <c r="B36" s="76" t="s">
        <v>302</v>
      </c>
      <c r="C36" s="42" t="s">
        <v>71</v>
      </c>
      <c r="D36" s="154">
        <v>170</v>
      </c>
      <c r="E36" s="246">
        <v>170</v>
      </c>
      <c r="F36" s="246">
        <v>170</v>
      </c>
      <c r="G36" s="484">
        <v>171</v>
      </c>
      <c r="H36" s="102">
        <f t="shared" si="6"/>
        <v>100</v>
      </c>
      <c r="I36" s="102">
        <f t="shared" si="7"/>
        <v>100.58823529411765</v>
      </c>
    </row>
    <row r="37" spans="1:9" ht="27" customHeight="1">
      <c r="A37" s="196">
        <v>3</v>
      </c>
      <c r="B37" s="217" t="s">
        <v>549</v>
      </c>
      <c r="C37" s="218"/>
      <c r="D37" s="220"/>
      <c r="E37" s="220"/>
      <c r="F37" s="220"/>
      <c r="G37" s="220"/>
      <c r="H37" s="219"/>
      <c r="I37" s="219"/>
    </row>
    <row r="38" spans="1:9" s="469" customFormat="1" ht="22.15" customHeight="1">
      <c r="A38" s="466" t="s">
        <v>78</v>
      </c>
      <c r="B38" s="467" t="s">
        <v>550</v>
      </c>
      <c r="C38" s="466"/>
      <c r="D38" s="468"/>
      <c r="E38" s="468"/>
      <c r="F38" s="468"/>
      <c r="G38" s="468"/>
      <c r="H38" s="250"/>
      <c r="I38" s="250"/>
    </row>
    <row r="39" spans="1:9" ht="21.95" customHeight="1">
      <c r="A39" s="63"/>
      <c r="B39" s="94" t="s">
        <v>359</v>
      </c>
      <c r="C39" s="50" t="s">
        <v>24</v>
      </c>
      <c r="D39" s="151">
        <v>467501</v>
      </c>
      <c r="E39" s="39">
        <v>472101</v>
      </c>
      <c r="F39" s="39">
        <v>472101</v>
      </c>
      <c r="G39" s="39">
        <v>476666</v>
      </c>
      <c r="H39" s="102">
        <f t="shared" ref="H39" si="16">F39/D39*100</f>
        <v>100.98395511453451</v>
      </c>
      <c r="I39" s="102">
        <f t="shared" ref="I39" si="17">G39/F39*100</f>
        <v>100.9669541051597</v>
      </c>
    </row>
    <row r="40" spans="1:9" s="48" customFormat="1" ht="21.95" customHeight="1">
      <c r="A40" s="67"/>
      <c r="B40" s="56" t="s">
        <v>360</v>
      </c>
      <c r="C40" s="50" t="s">
        <v>24</v>
      </c>
      <c r="D40" s="151">
        <v>24639</v>
      </c>
      <c r="E40" s="39">
        <v>19831</v>
      </c>
      <c r="F40" s="39">
        <v>19831</v>
      </c>
      <c r="G40" s="39">
        <v>14150</v>
      </c>
      <c r="H40" s="102">
        <f t="shared" ref="H40" si="18">F40/D40*100</f>
        <v>80.48622103169771</v>
      </c>
      <c r="I40" s="102">
        <f t="shared" ref="I40" si="19">G40/F40*100</f>
        <v>71.352932277746959</v>
      </c>
    </row>
    <row r="41" spans="1:9" ht="21.95" customHeight="1">
      <c r="A41" s="63"/>
      <c r="B41" s="96" t="s">
        <v>361</v>
      </c>
      <c r="C41" s="50" t="s">
        <v>24</v>
      </c>
      <c r="D41" s="470" t="s">
        <v>52</v>
      </c>
      <c r="E41" s="84">
        <f>D40-E40</f>
        <v>4808</v>
      </c>
      <c r="F41" s="84">
        <v>4808</v>
      </c>
      <c r="G41" s="84">
        <f>F40-G40</f>
        <v>5681</v>
      </c>
      <c r="H41" s="571" t="s">
        <v>52</v>
      </c>
      <c r="I41" s="571" t="s">
        <v>52</v>
      </c>
    </row>
    <row r="42" spans="1:9" ht="21.95" customHeight="1">
      <c r="A42" s="63"/>
      <c r="B42" s="56" t="s">
        <v>585</v>
      </c>
      <c r="C42" s="50" t="s">
        <v>24</v>
      </c>
      <c r="D42" s="168">
        <v>24615</v>
      </c>
      <c r="E42" s="84">
        <v>21600</v>
      </c>
      <c r="F42" s="84">
        <v>21600</v>
      </c>
      <c r="G42" s="84">
        <v>17600</v>
      </c>
      <c r="H42" s="186" t="s">
        <v>52</v>
      </c>
      <c r="I42" s="186" t="s">
        <v>52</v>
      </c>
    </row>
    <row r="43" spans="1:9" ht="21.95" customHeight="1">
      <c r="A43" s="63"/>
      <c r="B43" s="56" t="s">
        <v>551</v>
      </c>
      <c r="C43" s="50" t="s">
        <v>35</v>
      </c>
      <c r="D43" s="152">
        <v>5.27</v>
      </c>
      <c r="E43" s="70">
        <v>4.2</v>
      </c>
      <c r="F43" s="70">
        <v>4.2</v>
      </c>
      <c r="G43" s="70">
        <v>3</v>
      </c>
      <c r="H43" s="186" t="s">
        <v>52</v>
      </c>
      <c r="I43" s="186" t="s">
        <v>52</v>
      </c>
    </row>
    <row r="44" spans="1:9" s="48" customFormat="1" ht="21.95" customHeight="1">
      <c r="A44" s="67"/>
      <c r="B44" s="149" t="s">
        <v>469</v>
      </c>
      <c r="C44" s="150" t="s">
        <v>35</v>
      </c>
      <c r="D44" s="49">
        <v>31</v>
      </c>
      <c r="E44" s="188">
        <v>27</v>
      </c>
      <c r="F44" s="188">
        <v>27</v>
      </c>
      <c r="G44" s="188">
        <v>23</v>
      </c>
      <c r="H44" s="87" t="s">
        <v>52</v>
      </c>
      <c r="I44" s="87" t="s">
        <v>52</v>
      </c>
    </row>
    <row r="45" spans="1:9" ht="25.5" customHeight="1">
      <c r="A45" s="196">
        <v>4</v>
      </c>
      <c r="B45" s="217" t="s">
        <v>228</v>
      </c>
      <c r="C45" s="218"/>
      <c r="D45" s="220"/>
      <c r="E45" s="220"/>
      <c r="F45" s="220"/>
      <c r="G45" s="220"/>
      <c r="H45" s="219"/>
      <c r="I45" s="219"/>
    </row>
    <row r="46" spans="1:9" ht="36.75" customHeight="1">
      <c r="A46" s="63"/>
      <c r="B46" s="76" t="s">
        <v>185</v>
      </c>
      <c r="C46" s="78" t="s">
        <v>27</v>
      </c>
      <c r="D46" s="66">
        <f t="shared" ref="D46:E46" si="20">D48+D49+D50</f>
        <v>28.189999999999998</v>
      </c>
      <c r="E46" s="66">
        <f t="shared" si="20"/>
        <v>29.599852642436876</v>
      </c>
      <c r="F46" s="40">
        <f>F48+F49+F50</f>
        <v>30.1</v>
      </c>
      <c r="G46" s="40">
        <f>G48+G49+G50</f>
        <v>31.7</v>
      </c>
      <c r="H46" s="93">
        <f t="shared" ref="H46:H58" si="21">F46/D46*100</f>
        <v>106.77545228804541</v>
      </c>
      <c r="I46" s="66">
        <f t="shared" ref="I46:I58" si="22">G46/F46*100</f>
        <v>105.31561461794018</v>
      </c>
    </row>
    <row r="47" spans="1:9" ht="20.25" customHeight="1">
      <c r="A47" s="63"/>
      <c r="B47" s="77" t="s">
        <v>32</v>
      </c>
      <c r="C47" s="78"/>
      <c r="D47" s="66"/>
      <c r="E47" s="58"/>
      <c r="F47" s="99"/>
      <c r="G47" s="566"/>
      <c r="H47" s="65"/>
      <c r="I47" s="66"/>
    </row>
    <row r="48" spans="1:9" s="48" customFormat="1" ht="22.5" customHeight="1">
      <c r="A48" s="67"/>
      <c r="B48" s="76" t="s">
        <v>382</v>
      </c>
      <c r="C48" s="78" t="str">
        <f>C49</f>
        <v>Giường</v>
      </c>
      <c r="D48" s="58">
        <v>22.7</v>
      </c>
      <c r="E48" s="58">
        <v>23.6</v>
      </c>
      <c r="F48" s="99">
        <v>23.6</v>
      </c>
      <c r="G48" s="566">
        <v>25</v>
      </c>
      <c r="H48" s="93">
        <f t="shared" si="21"/>
        <v>103.9647577092511</v>
      </c>
      <c r="I48" s="66">
        <f t="shared" si="22"/>
        <v>105.93220338983049</v>
      </c>
    </row>
    <row r="49" spans="1:9" s="48" customFormat="1" ht="21" customHeight="1">
      <c r="A49" s="67"/>
      <c r="B49" s="230" t="s">
        <v>383</v>
      </c>
      <c r="C49" s="78" t="s">
        <v>27</v>
      </c>
      <c r="D49" s="471">
        <v>2.09</v>
      </c>
      <c r="E49" s="471">
        <v>1.999852642436873</v>
      </c>
      <c r="F49" s="99">
        <v>2</v>
      </c>
      <c r="G49" s="566">
        <v>1.9</v>
      </c>
      <c r="H49" s="93">
        <f t="shared" si="21"/>
        <v>95.693779904306226</v>
      </c>
      <c r="I49" s="66">
        <f t="shared" si="22"/>
        <v>95</v>
      </c>
    </row>
    <row r="50" spans="1:9" ht="25.5" customHeight="1">
      <c r="A50" s="63"/>
      <c r="B50" s="76" t="s">
        <v>384</v>
      </c>
      <c r="C50" s="78" t="s">
        <v>27</v>
      </c>
      <c r="D50" s="58">
        <v>3.4</v>
      </c>
      <c r="E50" s="58">
        <v>4</v>
      </c>
      <c r="F50" s="99">
        <v>4.5</v>
      </c>
      <c r="G50" s="566">
        <v>4.8</v>
      </c>
      <c r="H50" s="93">
        <f t="shared" si="21"/>
        <v>132.35294117647058</v>
      </c>
      <c r="I50" s="66">
        <f t="shared" si="22"/>
        <v>106.66666666666667</v>
      </c>
    </row>
    <row r="51" spans="1:9" s="53" customFormat="1" ht="25.5" customHeight="1">
      <c r="A51" s="100"/>
      <c r="B51" s="75" t="s">
        <v>187</v>
      </c>
      <c r="C51" s="78" t="s">
        <v>28</v>
      </c>
      <c r="D51" s="472">
        <v>10.7</v>
      </c>
      <c r="E51" s="99">
        <v>11</v>
      </c>
      <c r="F51" s="99">
        <v>11</v>
      </c>
      <c r="G51" s="566">
        <v>11.5</v>
      </c>
      <c r="H51" s="93">
        <f t="shared" si="21"/>
        <v>102.80373831775702</v>
      </c>
      <c r="I51" s="66">
        <f t="shared" si="22"/>
        <v>104.54545454545455</v>
      </c>
    </row>
    <row r="52" spans="1:9" ht="25.5" customHeight="1">
      <c r="A52" s="63"/>
      <c r="B52" s="101" t="s">
        <v>109</v>
      </c>
      <c r="C52" s="102" t="s">
        <v>110</v>
      </c>
      <c r="D52" s="472">
        <v>1.4</v>
      </c>
      <c r="E52" s="103">
        <v>1.5</v>
      </c>
      <c r="F52" s="104">
        <v>1.5</v>
      </c>
      <c r="G52" s="566">
        <v>2</v>
      </c>
      <c r="H52" s="93">
        <f t="shared" si="21"/>
        <v>107.14285714285714</v>
      </c>
      <c r="I52" s="66">
        <f t="shared" si="22"/>
        <v>133.33333333333331</v>
      </c>
    </row>
    <row r="53" spans="1:9" s="48" customFormat="1" ht="25.5" customHeight="1">
      <c r="A53" s="67"/>
      <c r="B53" s="75" t="s">
        <v>186</v>
      </c>
      <c r="C53" s="42" t="s">
        <v>35</v>
      </c>
      <c r="D53" s="39">
        <v>100</v>
      </c>
      <c r="E53" s="107">
        <v>100</v>
      </c>
      <c r="F53" s="470">
        <v>100</v>
      </c>
      <c r="G53" s="567">
        <v>100</v>
      </c>
      <c r="H53" s="93" t="s">
        <v>52</v>
      </c>
      <c r="I53" s="70" t="s">
        <v>52</v>
      </c>
    </row>
    <row r="54" spans="1:9" s="53" customFormat="1" ht="20.25" customHeight="1">
      <c r="A54" s="100"/>
      <c r="B54" s="79" t="s">
        <v>111</v>
      </c>
      <c r="C54" s="45" t="s">
        <v>35</v>
      </c>
      <c r="D54" s="31">
        <v>100</v>
      </c>
      <c r="E54" s="470">
        <v>100</v>
      </c>
      <c r="F54" s="470">
        <v>100</v>
      </c>
      <c r="G54" s="567">
        <v>100</v>
      </c>
      <c r="H54" s="231" t="s">
        <v>52</v>
      </c>
      <c r="I54" s="41" t="s">
        <v>52</v>
      </c>
    </row>
    <row r="55" spans="1:9" ht="39.75" customHeight="1">
      <c r="A55" s="63"/>
      <c r="B55" s="105" t="s">
        <v>229</v>
      </c>
      <c r="C55" s="99" t="s">
        <v>112</v>
      </c>
      <c r="D55" s="42">
        <v>5.0999999999999996</v>
      </c>
      <c r="E55" s="42" t="s">
        <v>471</v>
      </c>
      <c r="F55" s="109" t="s">
        <v>471</v>
      </c>
      <c r="G55" s="566" t="s">
        <v>471</v>
      </c>
      <c r="H55" s="93" t="s">
        <v>52</v>
      </c>
      <c r="I55" s="93" t="s">
        <v>52</v>
      </c>
    </row>
    <row r="56" spans="1:9" ht="25.5" customHeight="1">
      <c r="A56" s="63"/>
      <c r="B56" s="232" t="s">
        <v>188</v>
      </c>
      <c r="C56" s="106" t="s">
        <v>1</v>
      </c>
      <c r="D56" s="58">
        <v>1.2</v>
      </c>
      <c r="E56" s="58" t="s">
        <v>472</v>
      </c>
      <c r="F56" s="99" t="s">
        <v>472</v>
      </c>
      <c r="G56" s="566" t="s">
        <v>472</v>
      </c>
      <c r="H56" s="93" t="s">
        <v>52</v>
      </c>
      <c r="I56" s="93" t="s">
        <v>52</v>
      </c>
    </row>
    <row r="57" spans="1:9" ht="25.5" customHeight="1">
      <c r="A57" s="63"/>
      <c r="B57" s="232" t="s">
        <v>189</v>
      </c>
      <c r="C57" s="106" t="s">
        <v>1</v>
      </c>
      <c r="D57" s="58">
        <v>1.5</v>
      </c>
      <c r="E57" s="58" t="s">
        <v>473</v>
      </c>
      <c r="F57" s="99" t="s">
        <v>473</v>
      </c>
      <c r="G57" s="566" t="s">
        <v>473</v>
      </c>
      <c r="H57" s="93" t="s">
        <v>52</v>
      </c>
      <c r="I57" s="93" t="s">
        <v>52</v>
      </c>
    </row>
    <row r="58" spans="1:9" ht="26.25" customHeight="1">
      <c r="A58" s="63"/>
      <c r="B58" s="232" t="s">
        <v>190</v>
      </c>
      <c r="C58" s="42" t="s">
        <v>35</v>
      </c>
      <c r="D58" s="24">
        <v>11.7</v>
      </c>
      <c r="E58" s="65">
        <v>11.4</v>
      </c>
      <c r="F58" s="236">
        <v>11</v>
      </c>
      <c r="G58" s="566">
        <v>10.7</v>
      </c>
      <c r="H58" s="93">
        <f t="shared" si="21"/>
        <v>94.017094017094024</v>
      </c>
      <c r="I58" s="70">
        <f t="shared" si="22"/>
        <v>97.272727272727266</v>
      </c>
    </row>
    <row r="59" spans="1:9" ht="25.5" customHeight="1">
      <c r="A59" s="63"/>
      <c r="B59" s="187" t="s">
        <v>230</v>
      </c>
      <c r="C59" s="99" t="s">
        <v>35</v>
      </c>
      <c r="D59" s="66">
        <v>99.2</v>
      </c>
      <c r="E59" s="103">
        <v>99.2</v>
      </c>
      <c r="F59" s="227">
        <v>99.23</v>
      </c>
      <c r="G59" s="487">
        <v>99.26</v>
      </c>
      <c r="H59" s="93" t="s">
        <v>52</v>
      </c>
      <c r="I59" s="70" t="s">
        <v>52</v>
      </c>
    </row>
    <row r="60" spans="1:9" ht="25.5" customHeight="1">
      <c r="A60" s="63"/>
      <c r="B60" s="187" t="s">
        <v>231</v>
      </c>
      <c r="C60" s="99" t="s">
        <v>6</v>
      </c>
      <c r="D60" s="39">
        <v>30383</v>
      </c>
      <c r="E60" s="107">
        <v>40107</v>
      </c>
      <c r="F60" s="107">
        <v>40107</v>
      </c>
      <c r="G60" s="484">
        <v>53181</v>
      </c>
      <c r="H60" s="102">
        <f t="shared" ref="H60" si="23">F60/D60*100</f>
        <v>132.00473949247936</v>
      </c>
      <c r="I60" s="102">
        <f t="shared" ref="I60" si="24">G60/F60*100</f>
        <v>132.59780088263895</v>
      </c>
    </row>
    <row r="61" spans="1:9" ht="24.95" customHeight="1">
      <c r="A61" s="63"/>
      <c r="B61" s="187" t="s">
        <v>547</v>
      </c>
      <c r="C61" s="99" t="s">
        <v>289</v>
      </c>
      <c r="D61" s="84">
        <v>337699</v>
      </c>
      <c r="E61" s="107">
        <v>360000</v>
      </c>
      <c r="F61" s="107">
        <v>366613</v>
      </c>
      <c r="G61" s="484">
        <v>395106</v>
      </c>
      <c r="H61" s="102">
        <f t="shared" ref="H61:H62" si="25">F61/D61*100</f>
        <v>108.56206266527293</v>
      </c>
      <c r="I61" s="102">
        <f t="shared" ref="I61:I62" si="26">G61/F61*100</f>
        <v>107.77195571351808</v>
      </c>
    </row>
    <row r="62" spans="1:9" ht="24.95" customHeight="1">
      <c r="A62" s="63"/>
      <c r="B62" s="187" t="s">
        <v>548</v>
      </c>
      <c r="C62" s="99" t="str">
        <f>C61</f>
        <v>người</v>
      </c>
      <c r="D62" s="84">
        <v>324156</v>
      </c>
      <c r="E62" s="107">
        <v>343447</v>
      </c>
      <c r="F62" s="107">
        <v>353021</v>
      </c>
      <c r="G62" s="107">
        <v>388056</v>
      </c>
      <c r="H62" s="102">
        <f t="shared" si="25"/>
        <v>108.90466318686065</v>
      </c>
      <c r="I62" s="102">
        <f t="shared" si="26"/>
        <v>109.92433877871288</v>
      </c>
    </row>
    <row r="63" spans="1:9" ht="24.95" customHeight="1">
      <c r="A63" s="63"/>
      <c r="B63" s="187" t="s">
        <v>470</v>
      </c>
      <c r="C63" s="99" t="s">
        <v>35</v>
      </c>
      <c r="D63" s="66">
        <v>35</v>
      </c>
      <c r="E63" s="103">
        <v>38</v>
      </c>
      <c r="F63" s="103">
        <v>38</v>
      </c>
      <c r="G63" s="103">
        <v>40</v>
      </c>
      <c r="H63" s="93" t="s">
        <v>52</v>
      </c>
      <c r="I63" s="70" t="s">
        <v>52</v>
      </c>
    </row>
    <row r="64" spans="1:9" ht="37.5">
      <c r="A64" s="63"/>
      <c r="B64" s="123" t="s">
        <v>525</v>
      </c>
      <c r="C64" s="24" t="s">
        <v>35</v>
      </c>
      <c r="D64" s="70" t="s">
        <v>52</v>
      </c>
      <c r="E64" s="93" t="s">
        <v>526</v>
      </c>
      <c r="F64" s="93">
        <v>99.9</v>
      </c>
      <c r="G64" s="231" t="s">
        <v>52</v>
      </c>
      <c r="H64" s="93" t="s">
        <v>52</v>
      </c>
      <c r="I64" s="70" t="s">
        <v>52</v>
      </c>
    </row>
    <row r="65" spans="1:10" ht="37.5">
      <c r="A65" s="63"/>
      <c r="B65" s="123" t="s">
        <v>527</v>
      </c>
      <c r="C65" s="24" t="s">
        <v>35</v>
      </c>
      <c r="D65" s="70" t="s">
        <v>52</v>
      </c>
      <c r="E65" s="93">
        <v>70</v>
      </c>
      <c r="F65" s="93">
        <v>75.900000000000006</v>
      </c>
      <c r="G65" s="231" t="s">
        <v>52</v>
      </c>
      <c r="H65" s="93" t="s">
        <v>52</v>
      </c>
      <c r="I65" s="70" t="s">
        <v>52</v>
      </c>
    </row>
    <row r="66" spans="1:10" ht="22.5" customHeight="1">
      <c r="A66" s="63"/>
      <c r="B66" s="189" t="s">
        <v>232</v>
      </c>
      <c r="C66" s="190"/>
      <c r="D66" s="32"/>
      <c r="E66" s="37"/>
      <c r="F66" s="37"/>
      <c r="G66" s="37"/>
      <c r="H66" s="93"/>
      <c r="I66" s="70"/>
    </row>
    <row r="67" spans="1:10" ht="24.95" customHeight="1">
      <c r="A67" s="63"/>
      <c r="B67" s="108" t="s">
        <v>362</v>
      </c>
      <c r="C67" s="99" t="s">
        <v>35</v>
      </c>
      <c r="D67" s="37">
        <v>46.2</v>
      </c>
      <c r="E67" s="37">
        <v>52.5</v>
      </c>
      <c r="F67" s="37">
        <v>52.5</v>
      </c>
      <c r="G67" s="491">
        <v>56.070221327967808</v>
      </c>
      <c r="H67" s="93" t="s">
        <v>52</v>
      </c>
      <c r="I67" s="70" t="s">
        <v>52</v>
      </c>
    </row>
    <row r="68" spans="1:10" ht="37.5">
      <c r="A68" s="63"/>
      <c r="B68" s="108" t="s">
        <v>280</v>
      </c>
      <c r="C68" s="99" t="s">
        <v>35</v>
      </c>
      <c r="D68" s="37">
        <v>44.5</v>
      </c>
      <c r="E68" s="37">
        <v>48.5</v>
      </c>
      <c r="F68" s="37">
        <v>48.5</v>
      </c>
      <c r="G68" s="491">
        <v>53</v>
      </c>
      <c r="H68" s="93" t="s">
        <v>52</v>
      </c>
      <c r="I68" s="70" t="s">
        <v>52</v>
      </c>
    </row>
    <row r="69" spans="1:10" ht="37.5">
      <c r="A69" s="63"/>
      <c r="B69" s="108" t="s">
        <v>281</v>
      </c>
      <c r="C69" s="99" t="s">
        <v>35</v>
      </c>
      <c r="D69" s="37">
        <v>43</v>
      </c>
      <c r="E69" s="37">
        <v>44.8</v>
      </c>
      <c r="F69" s="37">
        <v>44.8</v>
      </c>
      <c r="G69" s="491">
        <v>46.8</v>
      </c>
      <c r="H69" s="93" t="s">
        <v>52</v>
      </c>
      <c r="I69" s="70" t="s">
        <v>52</v>
      </c>
    </row>
    <row r="70" spans="1:10" ht="37.5">
      <c r="A70" s="63"/>
      <c r="B70" s="108" t="s">
        <v>282</v>
      </c>
      <c r="C70" s="99" t="s">
        <v>35</v>
      </c>
      <c r="D70" s="37">
        <v>44</v>
      </c>
      <c r="E70" s="37">
        <v>46</v>
      </c>
      <c r="F70" s="37">
        <v>46</v>
      </c>
      <c r="G70" s="491">
        <v>47.411392405063296</v>
      </c>
      <c r="H70" s="93" t="s">
        <v>52</v>
      </c>
      <c r="I70" s="70" t="s">
        <v>52</v>
      </c>
    </row>
    <row r="71" spans="1:10" ht="37.5">
      <c r="A71" s="63"/>
      <c r="B71" s="108" t="s">
        <v>283</v>
      </c>
      <c r="C71" s="99" t="s">
        <v>35</v>
      </c>
      <c r="D71" s="37">
        <v>46</v>
      </c>
      <c r="E71" s="37">
        <v>47.7</v>
      </c>
      <c r="F71" s="37">
        <v>47.7</v>
      </c>
      <c r="G71" s="491">
        <v>48.964079422382675</v>
      </c>
      <c r="H71" s="93" t="s">
        <v>52</v>
      </c>
      <c r="I71" s="70" t="s">
        <v>52</v>
      </c>
    </row>
    <row r="72" spans="1:10" ht="37.5">
      <c r="A72" s="63"/>
      <c r="B72" s="108" t="s">
        <v>305</v>
      </c>
      <c r="C72" s="99" t="s">
        <v>35</v>
      </c>
      <c r="D72" s="78">
        <v>94</v>
      </c>
      <c r="E72" s="103">
        <v>94.5</v>
      </c>
      <c r="F72" s="103">
        <v>94.5</v>
      </c>
      <c r="G72" s="492">
        <v>94.6</v>
      </c>
      <c r="H72" s="93" t="s">
        <v>52</v>
      </c>
      <c r="I72" s="70" t="s">
        <v>52</v>
      </c>
    </row>
    <row r="73" spans="1:10" ht="56.25">
      <c r="A73" s="63"/>
      <c r="B73" s="108" t="s">
        <v>566</v>
      </c>
      <c r="C73" s="99" t="s">
        <v>35</v>
      </c>
      <c r="D73" s="70">
        <v>91.70684667309547</v>
      </c>
      <c r="E73" s="103">
        <v>92.6</v>
      </c>
      <c r="F73" s="103">
        <v>92.6</v>
      </c>
      <c r="G73" s="103">
        <v>93.5</v>
      </c>
      <c r="H73" s="93" t="s">
        <v>52</v>
      </c>
      <c r="I73" s="70" t="s">
        <v>52</v>
      </c>
      <c r="J73" s="252"/>
    </row>
    <row r="74" spans="1:10" ht="56.25">
      <c r="A74" s="63"/>
      <c r="B74" s="108" t="s">
        <v>565</v>
      </c>
      <c r="C74" s="99" t="s">
        <v>35</v>
      </c>
      <c r="D74" s="70">
        <v>95.127610208816705</v>
      </c>
      <c r="E74" s="103">
        <v>97.3</v>
      </c>
      <c r="F74" s="103">
        <v>97.3</v>
      </c>
      <c r="G74" s="103">
        <v>98</v>
      </c>
      <c r="H74" s="93" t="s">
        <v>52</v>
      </c>
      <c r="I74" s="70" t="s">
        <v>52</v>
      </c>
    </row>
    <row r="75" spans="1:10" ht="56.25">
      <c r="A75" s="63"/>
      <c r="B75" s="108" t="s">
        <v>564</v>
      </c>
      <c r="C75" s="99" t="s">
        <v>35</v>
      </c>
      <c r="D75" s="70">
        <v>93.987975951903806</v>
      </c>
      <c r="E75" s="103">
        <v>94.5</v>
      </c>
      <c r="F75" s="103">
        <v>94.5</v>
      </c>
      <c r="G75" s="103">
        <v>95</v>
      </c>
      <c r="H75" s="93" t="s">
        <v>52</v>
      </c>
      <c r="I75" s="70" t="s">
        <v>52</v>
      </c>
    </row>
    <row r="76" spans="1:10" ht="27.75" customHeight="1">
      <c r="A76" s="196">
        <v>5</v>
      </c>
      <c r="B76" s="217" t="s">
        <v>17</v>
      </c>
      <c r="C76" s="218"/>
      <c r="D76" s="220"/>
      <c r="E76" s="221"/>
      <c r="F76" s="220"/>
      <c r="G76" s="221"/>
      <c r="H76" s="215"/>
      <c r="I76" s="219"/>
    </row>
    <row r="77" spans="1:10" ht="21.95" customHeight="1">
      <c r="A77" s="589">
        <v>1</v>
      </c>
      <c r="B77" s="163" t="s">
        <v>234</v>
      </c>
      <c r="C77" s="42"/>
      <c r="D77" s="519"/>
      <c r="E77" s="58"/>
      <c r="F77" s="519"/>
      <c r="G77" s="58"/>
      <c r="H77" s="65"/>
      <c r="I77" s="66"/>
    </row>
    <row r="78" spans="1:10" ht="21.95" customHeight="1">
      <c r="A78" s="589" t="s">
        <v>54</v>
      </c>
      <c r="B78" s="520" t="s">
        <v>235</v>
      </c>
      <c r="C78" s="589" t="s">
        <v>26</v>
      </c>
      <c r="D78" s="521">
        <f t="shared" ref="D78" si="27">SUM(D79:D83)</f>
        <v>463885</v>
      </c>
      <c r="E78" s="521">
        <f>SUM(E79:E83)</f>
        <v>479595</v>
      </c>
      <c r="F78" s="521">
        <f>SUM(F79:F83)</f>
        <v>479595</v>
      </c>
      <c r="G78" s="521">
        <f>SUM(G79:G83)</f>
        <v>489647</v>
      </c>
      <c r="H78" s="110">
        <f>E78/D78%</f>
        <v>103.38661521713355</v>
      </c>
      <c r="I78" s="111">
        <f>G78/E78%</f>
        <v>102.09593511191736</v>
      </c>
    </row>
    <row r="79" spans="1:10" ht="21.95" customHeight="1">
      <c r="A79" s="63"/>
      <c r="B79" s="63" t="s">
        <v>496</v>
      </c>
      <c r="C79" s="42" t="s">
        <v>113</v>
      </c>
      <c r="D79" s="39">
        <v>102768</v>
      </c>
      <c r="E79" s="39">
        <v>108781</v>
      </c>
      <c r="F79" s="39">
        <v>108781</v>
      </c>
      <c r="G79" s="482">
        <v>106250</v>
      </c>
      <c r="H79" s="58">
        <f t="shared" ref="H79:H124" si="28">E79/D79%</f>
        <v>105.85104312626498</v>
      </c>
      <c r="I79" s="78">
        <f t="shared" ref="I79:I124" si="29">G79/E79%</f>
        <v>97.673306919406883</v>
      </c>
    </row>
    <row r="80" spans="1:10" ht="21.95" customHeight="1">
      <c r="A80" s="63"/>
      <c r="B80" s="63" t="s">
        <v>497</v>
      </c>
      <c r="C80" s="42" t="s">
        <v>26</v>
      </c>
      <c r="D80" s="39">
        <v>187349</v>
      </c>
      <c r="E80" s="39">
        <v>190460</v>
      </c>
      <c r="F80" s="39">
        <v>190460</v>
      </c>
      <c r="G80" s="482">
        <v>187947</v>
      </c>
      <c r="H80" s="58">
        <f t="shared" si="28"/>
        <v>101.66053728602768</v>
      </c>
      <c r="I80" s="78">
        <f t="shared" si="29"/>
        <v>98.680562847842069</v>
      </c>
    </row>
    <row r="81" spans="1:10" ht="21.95" customHeight="1">
      <c r="A81" s="63"/>
      <c r="B81" s="63" t="s">
        <v>114</v>
      </c>
      <c r="C81" s="42" t="s">
        <v>26</v>
      </c>
      <c r="D81" s="39">
        <v>114031</v>
      </c>
      <c r="E81" s="39">
        <v>117953</v>
      </c>
      <c r="F81" s="39">
        <v>117953</v>
      </c>
      <c r="G81" s="482">
        <v>131753</v>
      </c>
      <c r="H81" s="58">
        <f t="shared" si="28"/>
        <v>103.43941559751296</v>
      </c>
      <c r="I81" s="78">
        <f t="shared" si="29"/>
        <v>111.69957525455054</v>
      </c>
    </row>
    <row r="82" spans="1:10" ht="21.95" customHeight="1">
      <c r="A82" s="63"/>
      <c r="B82" s="63" t="s">
        <v>115</v>
      </c>
      <c r="C82" s="42" t="s">
        <v>26</v>
      </c>
      <c r="D82" s="39">
        <v>53172</v>
      </c>
      <c r="E82" s="39">
        <v>55156</v>
      </c>
      <c r="F82" s="39">
        <v>55156</v>
      </c>
      <c r="G82" s="482">
        <v>56277</v>
      </c>
      <c r="H82" s="58">
        <f t="shared" si="28"/>
        <v>103.73128714360941</v>
      </c>
      <c r="I82" s="78">
        <f t="shared" si="29"/>
        <v>102.03241714410038</v>
      </c>
    </row>
    <row r="83" spans="1:10" ht="21.95" customHeight="1">
      <c r="A83" s="63"/>
      <c r="B83" s="63" t="s">
        <v>498</v>
      </c>
      <c r="C83" s="42" t="s">
        <v>6</v>
      </c>
      <c r="D83" s="39">
        <v>6565</v>
      </c>
      <c r="E83" s="39">
        <v>7245</v>
      </c>
      <c r="F83" s="39">
        <v>7245</v>
      </c>
      <c r="G83" s="482">
        <v>7420</v>
      </c>
      <c r="H83" s="58">
        <f t="shared" si="28"/>
        <v>110.35795887281034</v>
      </c>
      <c r="I83" s="78">
        <f t="shared" si="29"/>
        <v>102.41545893719807</v>
      </c>
    </row>
    <row r="84" spans="1:10" ht="21.95" customHeight="1">
      <c r="A84" s="589" t="s">
        <v>55</v>
      </c>
      <c r="B84" s="163" t="s">
        <v>236</v>
      </c>
      <c r="C84" s="589" t="s">
        <v>116</v>
      </c>
      <c r="D84" s="225">
        <f>SUM(D85:D92)</f>
        <v>760</v>
      </c>
      <c r="E84" s="225">
        <f>SUM(E85:E92)</f>
        <v>756</v>
      </c>
      <c r="F84" s="225">
        <f>SUM(F85:F92)</f>
        <v>756</v>
      </c>
      <c r="G84" s="225">
        <f>SUM(G85:G92)</f>
        <v>756</v>
      </c>
      <c r="H84" s="110">
        <f>E84/D84%</f>
        <v>99.473684210526315</v>
      </c>
      <c r="I84" s="111">
        <f t="shared" si="29"/>
        <v>100</v>
      </c>
    </row>
    <row r="85" spans="1:10" ht="21.95" customHeight="1">
      <c r="A85" s="63"/>
      <c r="B85" s="63" t="s">
        <v>238</v>
      </c>
      <c r="C85" s="42" t="str">
        <f>C84</f>
        <v>Trường</v>
      </c>
      <c r="D85" s="519">
        <v>251</v>
      </c>
      <c r="E85" s="519">
        <v>248</v>
      </c>
      <c r="F85" s="519">
        <v>248</v>
      </c>
      <c r="G85" s="519">
        <v>248</v>
      </c>
      <c r="H85" s="58">
        <f t="shared" si="28"/>
        <v>98.804780876494036</v>
      </c>
      <c r="I85" s="78">
        <f t="shared" si="29"/>
        <v>100</v>
      </c>
    </row>
    <row r="86" spans="1:10" ht="21.95" customHeight="1">
      <c r="A86" s="63"/>
      <c r="B86" s="63" t="s">
        <v>239</v>
      </c>
      <c r="C86" s="42" t="str">
        <f t="shared" ref="C86:C91" si="30">C85</f>
        <v>Trường</v>
      </c>
      <c r="D86" s="519">
        <v>220</v>
      </c>
      <c r="E86" s="519">
        <v>220</v>
      </c>
      <c r="F86" s="519">
        <v>220</v>
      </c>
      <c r="G86" s="519">
        <v>220</v>
      </c>
      <c r="H86" s="58">
        <f t="shared" si="28"/>
        <v>99.999999999999986</v>
      </c>
      <c r="I86" s="78">
        <f t="shared" si="29"/>
        <v>99.999999999999986</v>
      </c>
    </row>
    <row r="87" spans="1:10" ht="21.95" customHeight="1">
      <c r="A87" s="63"/>
      <c r="B87" s="63" t="s">
        <v>511</v>
      </c>
      <c r="C87" s="42" t="str">
        <f t="shared" si="30"/>
        <v>Trường</v>
      </c>
      <c r="D87" s="519">
        <v>23</v>
      </c>
      <c r="E87" s="519">
        <v>22</v>
      </c>
      <c r="F87" s="519">
        <v>22</v>
      </c>
      <c r="G87" s="519">
        <v>22</v>
      </c>
      <c r="H87" s="58">
        <f t="shared" si="28"/>
        <v>95.65217391304347</v>
      </c>
      <c r="I87" s="78">
        <f t="shared" si="29"/>
        <v>100</v>
      </c>
    </row>
    <row r="88" spans="1:10" ht="21.95" customHeight="1">
      <c r="A88" s="63"/>
      <c r="B88" s="63" t="s">
        <v>240</v>
      </c>
      <c r="C88" s="42" t="str">
        <f t="shared" si="30"/>
        <v>Trường</v>
      </c>
      <c r="D88" s="519">
        <v>207</v>
      </c>
      <c r="E88" s="519">
        <v>207</v>
      </c>
      <c r="F88" s="519">
        <v>207</v>
      </c>
      <c r="G88" s="519">
        <v>207</v>
      </c>
      <c r="H88" s="58">
        <f t="shared" si="28"/>
        <v>100.00000000000001</v>
      </c>
      <c r="I88" s="78">
        <f t="shared" si="29"/>
        <v>100.00000000000001</v>
      </c>
    </row>
    <row r="89" spans="1:10" ht="21.95" customHeight="1">
      <c r="A89" s="63"/>
      <c r="B89" s="63" t="s">
        <v>499</v>
      </c>
      <c r="C89" s="42" t="str">
        <f t="shared" si="30"/>
        <v>Trường</v>
      </c>
      <c r="D89" s="519">
        <v>2</v>
      </c>
      <c r="E89" s="519">
        <v>2</v>
      </c>
      <c r="F89" s="519">
        <v>2</v>
      </c>
      <c r="G89" s="519">
        <v>2</v>
      </c>
      <c r="H89" s="58">
        <f t="shared" si="28"/>
        <v>100</v>
      </c>
      <c r="I89" s="78">
        <f t="shared" si="29"/>
        <v>100</v>
      </c>
    </row>
    <row r="90" spans="1:10" ht="21.95" customHeight="1">
      <c r="A90" s="63"/>
      <c r="B90" s="63" t="s">
        <v>241</v>
      </c>
      <c r="C90" s="42" t="str">
        <f t="shared" si="30"/>
        <v>Trường</v>
      </c>
      <c r="D90" s="519">
        <v>37</v>
      </c>
      <c r="E90" s="519">
        <v>37</v>
      </c>
      <c r="F90" s="519">
        <v>37</v>
      </c>
      <c r="G90" s="519">
        <v>37</v>
      </c>
      <c r="H90" s="58">
        <f t="shared" si="28"/>
        <v>100</v>
      </c>
      <c r="I90" s="78">
        <f t="shared" si="29"/>
        <v>100</v>
      </c>
    </row>
    <row r="91" spans="1:10" ht="21.95" customHeight="1">
      <c r="A91" s="63"/>
      <c r="B91" s="63" t="s">
        <v>304</v>
      </c>
      <c r="C91" s="42" t="str">
        <f t="shared" si="30"/>
        <v>Trường</v>
      </c>
      <c r="D91" s="519">
        <v>11</v>
      </c>
      <c r="E91" s="519">
        <v>11</v>
      </c>
      <c r="F91" s="519">
        <v>11</v>
      </c>
      <c r="G91" s="519">
        <v>11</v>
      </c>
      <c r="H91" s="58">
        <f t="shared" si="28"/>
        <v>100</v>
      </c>
      <c r="I91" s="78">
        <f t="shared" si="29"/>
        <v>100</v>
      </c>
    </row>
    <row r="92" spans="1:10" ht="21.95" customHeight="1">
      <c r="A92" s="63"/>
      <c r="B92" s="63" t="s">
        <v>242</v>
      </c>
      <c r="C92" s="42" t="s">
        <v>406</v>
      </c>
      <c r="D92" s="519">
        <v>9</v>
      </c>
      <c r="E92" s="519">
        <v>9</v>
      </c>
      <c r="F92" s="519">
        <v>9</v>
      </c>
      <c r="G92" s="519">
        <v>9</v>
      </c>
      <c r="H92" s="58">
        <f t="shared" si="28"/>
        <v>100</v>
      </c>
      <c r="I92" s="78">
        <f t="shared" si="29"/>
        <v>100</v>
      </c>
    </row>
    <row r="93" spans="1:10" ht="21.95" customHeight="1">
      <c r="A93" s="589" t="s">
        <v>192</v>
      </c>
      <c r="B93" s="163" t="s">
        <v>243</v>
      </c>
      <c r="C93" s="589" t="s">
        <v>237</v>
      </c>
      <c r="D93" s="521">
        <f t="shared" ref="D93:G93" si="31">SUM(D94:D101)</f>
        <v>14015</v>
      </c>
      <c r="E93" s="521">
        <f t="shared" si="31"/>
        <v>14240</v>
      </c>
      <c r="F93" s="521">
        <f t="shared" si="31"/>
        <v>14240</v>
      </c>
      <c r="G93" s="521">
        <f t="shared" si="31"/>
        <v>14462.885714285714</v>
      </c>
      <c r="H93" s="110">
        <f t="shared" si="28"/>
        <v>101.60542276132715</v>
      </c>
      <c r="I93" s="111">
        <f t="shared" ref="I93" si="32">G94/E93%</f>
        <v>25</v>
      </c>
      <c r="J93" s="61"/>
    </row>
    <row r="94" spans="1:10" ht="21.95" customHeight="1">
      <c r="A94" s="42"/>
      <c r="B94" s="63" t="s">
        <v>244</v>
      </c>
      <c r="C94" s="42" t="s">
        <v>237</v>
      </c>
      <c r="D94" s="39">
        <v>3576</v>
      </c>
      <c r="E94" s="39">
        <v>3554</v>
      </c>
      <c r="F94" s="39">
        <v>3554</v>
      </c>
      <c r="G94" s="39">
        <v>3560</v>
      </c>
      <c r="H94" s="58">
        <f t="shared" si="28"/>
        <v>99.384787472035796</v>
      </c>
      <c r="I94" s="78">
        <f t="shared" si="29"/>
        <v>100.16882386043895</v>
      </c>
    </row>
    <row r="95" spans="1:10" ht="21.75" customHeight="1">
      <c r="A95" s="42"/>
      <c r="B95" s="63" t="s">
        <v>245</v>
      </c>
      <c r="C95" s="42" t="s">
        <v>237</v>
      </c>
      <c r="D95" s="39">
        <v>102</v>
      </c>
      <c r="E95" s="39">
        <v>110</v>
      </c>
      <c r="F95" s="39">
        <v>110</v>
      </c>
      <c r="G95" s="39">
        <v>231</v>
      </c>
      <c r="H95" s="58">
        <f t="shared" si="28"/>
        <v>107.84313725490196</v>
      </c>
      <c r="I95" s="78">
        <f t="shared" si="29"/>
        <v>209.99999999999997</v>
      </c>
    </row>
    <row r="96" spans="1:10" ht="21.95" customHeight="1">
      <c r="A96" s="42"/>
      <c r="B96" s="63" t="s">
        <v>246</v>
      </c>
      <c r="C96" s="42" t="s">
        <v>237</v>
      </c>
      <c r="D96" s="39">
        <v>5790</v>
      </c>
      <c r="E96" s="39">
        <v>5920</v>
      </c>
      <c r="F96" s="39">
        <v>5920</v>
      </c>
      <c r="G96" s="39">
        <v>5780.8857142857141</v>
      </c>
      <c r="H96" s="58">
        <f t="shared" si="28"/>
        <v>102.24525043177893</v>
      </c>
      <c r="I96" s="78">
        <f t="shared" si="29"/>
        <v>97.650096525096515</v>
      </c>
    </row>
    <row r="97" spans="1:9" ht="21.95" customHeight="1">
      <c r="A97" s="42"/>
      <c r="B97" s="63" t="s">
        <v>247</v>
      </c>
      <c r="C97" s="42" t="s">
        <v>237</v>
      </c>
      <c r="D97" s="66">
        <v>5</v>
      </c>
      <c r="E97" s="66">
        <v>5</v>
      </c>
      <c r="F97" s="66">
        <v>5</v>
      </c>
      <c r="G97" s="66">
        <v>5</v>
      </c>
      <c r="H97" s="58">
        <f t="shared" si="28"/>
        <v>100</v>
      </c>
      <c r="I97" s="78">
        <f t="shared" si="29"/>
        <v>100</v>
      </c>
    </row>
    <row r="98" spans="1:9" ht="21.95" customHeight="1">
      <c r="A98" s="42"/>
      <c r="B98" s="63" t="s">
        <v>248</v>
      </c>
      <c r="C98" s="42" t="s">
        <v>237</v>
      </c>
      <c r="D98" s="39">
        <v>3103</v>
      </c>
      <c r="E98" s="39">
        <v>3162</v>
      </c>
      <c r="F98" s="39">
        <v>3162</v>
      </c>
      <c r="G98" s="39">
        <v>3354</v>
      </c>
      <c r="H98" s="58">
        <f t="shared" si="28"/>
        <v>101.90138575572027</v>
      </c>
      <c r="I98" s="78">
        <f t="shared" si="29"/>
        <v>106.07210626185957</v>
      </c>
    </row>
    <row r="99" spans="1:9" ht="21.95" customHeight="1">
      <c r="A99" s="42"/>
      <c r="B99" s="63" t="s">
        <v>249</v>
      </c>
      <c r="C99" s="42" t="s">
        <v>237</v>
      </c>
      <c r="D99" s="39">
        <v>1125</v>
      </c>
      <c r="E99" s="39">
        <v>1126</v>
      </c>
      <c r="F99" s="39">
        <v>1126</v>
      </c>
      <c r="G99" s="39">
        <v>1129</v>
      </c>
      <c r="H99" s="58">
        <f t="shared" si="28"/>
        <v>100.08888888888889</v>
      </c>
      <c r="I99" s="78">
        <f t="shared" si="29"/>
        <v>100.2664298401421</v>
      </c>
    </row>
    <row r="100" spans="1:9" ht="21.95" customHeight="1">
      <c r="A100" s="42"/>
      <c r="B100" s="63" t="s">
        <v>250</v>
      </c>
      <c r="C100" s="42" t="s">
        <v>237</v>
      </c>
      <c r="D100" s="39">
        <v>164</v>
      </c>
      <c r="E100" s="39">
        <v>201</v>
      </c>
      <c r="F100" s="39">
        <v>201</v>
      </c>
      <c r="G100" s="39">
        <v>223</v>
      </c>
      <c r="H100" s="58">
        <f t="shared" si="28"/>
        <v>122.5609756097561</v>
      </c>
      <c r="I100" s="78">
        <f t="shared" si="29"/>
        <v>110.94527363184081</v>
      </c>
    </row>
    <row r="101" spans="1:9" ht="21.95" customHeight="1">
      <c r="A101" s="42"/>
      <c r="B101" s="63" t="s">
        <v>251</v>
      </c>
      <c r="C101" s="42" t="s">
        <v>237</v>
      </c>
      <c r="D101" s="39">
        <v>150</v>
      </c>
      <c r="E101" s="39">
        <v>162</v>
      </c>
      <c r="F101" s="39">
        <v>162</v>
      </c>
      <c r="G101" s="116">
        <v>180</v>
      </c>
      <c r="H101" s="58">
        <f t="shared" si="28"/>
        <v>108</v>
      </c>
      <c r="I101" s="78">
        <f t="shared" si="29"/>
        <v>111.1111111111111</v>
      </c>
    </row>
    <row r="102" spans="1:9" ht="21.95" customHeight="1">
      <c r="A102" s="63"/>
      <c r="B102" s="63" t="s">
        <v>29</v>
      </c>
      <c r="C102" s="42" t="s">
        <v>35</v>
      </c>
      <c r="D102" s="522">
        <v>99.471681765957854</v>
      </c>
      <c r="E102" s="103">
        <v>99</v>
      </c>
      <c r="F102" s="103">
        <v>99</v>
      </c>
      <c r="G102" s="65">
        <v>99</v>
      </c>
      <c r="H102" s="58">
        <f t="shared" si="28"/>
        <v>99.525813017751474</v>
      </c>
      <c r="I102" s="78">
        <f t="shared" si="29"/>
        <v>100</v>
      </c>
    </row>
    <row r="103" spans="1:9" ht="21.95" customHeight="1">
      <c r="A103" s="63"/>
      <c r="B103" s="63" t="s">
        <v>512</v>
      </c>
      <c r="C103" s="42"/>
      <c r="D103" s="523"/>
      <c r="E103" s="58"/>
      <c r="F103" s="58"/>
      <c r="G103" s="42"/>
      <c r="H103" s="58"/>
      <c r="I103" s="78"/>
    </row>
    <row r="104" spans="1:9" s="115" customFormat="1" ht="21.95" customHeight="1">
      <c r="A104" s="63"/>
      <c r="B104" s="54" t="s">
        <v>363</v>
      </c>
      <c r="C104" s="42" t="s">
        <v>35</v>
      </c>
      <c r="D104" s="92">
        <v>100</v>
      </c>
      <c r="E104" s="92">
        <v>100</v>
      </c>
      <c r="F104" s="92">
        <v>100</v>
      </c>
      <c r="G104" s="39">
        <v>100</v>
      </c>
      <c r="H104" s="58">
        <f t="shared" si="28"/>
        <v>100</v>
      </c>
      <c r="I104" s="78">
        <f t="shared" si="29"/>
        <v>100</v>
      </c>
    </row>
    <row r="105" spans="1:9" s="115" customFormat="1" ht="21.95" customHeight="1">
      <c r="A105" s="63"/>
      <c r="B105" s="54" t="s">
        <v>364</v>
      </c>
      <c r="C105" s="42" t="s">
        <v>35</v>
      </c>
      <c r="D105" s="92">
        <v>100</v>
      </c>
      <c r="E105" s="92">
        <v>100</v>
      </c>
      <c r="F105" s="92">
        <v>100</v>
      </c>
      <c r="G105" s="92">
        <v>100</v>
      </c>
      <c r="H105" s="58">
        <f t="shared" si="28"/>
        <v>100</v>
      </c>
      <c r="I105" s="78">
        <f t="shared" si="29"/>
        <v>100</v>
      </c>
    </row>
    <row r="106" spans="1:9" s="115" customFormat="1" ht="21.95" customHeight="1">
      <c r="A106" s="63"/>
      <c r="B106" s="54" t="s">
        <v>64</v>
      </c>
      <c r="C106" s="42" t="s">
        <v>35</v>
      </c>
      <c r="D106" s="61">
        <v>20.83</v>
      </c>
      <c r="E106" s="58">
        <v>21</v>
      </c>
      <c r="F106" s="58">
        <v>21</v>
      </c>
      <c r="G106" s="42">
        <v>21.2</v>
      </c>
      <c r="H106" s="58">
        <f t="shared" si="28"/>
        <v>100.81613058089295</v>
      </c>
      <c r="I106" s="78">
        <f t="shared" si="29"/>
        <v>100.95238095238095</v>
      </c>
    </row>
    <row r="107" spans="1:9" s="48" customFormat="1" ht="21.95" customHeight="1">
      <c r="A107" s="63"/>
      <c r="B107" s="63" t="s">
        <v>513</v>
      </c>
      <c r="C107" s="42"/>
      <c r="D107" s="81"/>
      <c r="E107" s="226"/>
      <c r="F107" s="226"/>
      <c r="G107" s="42"/>
      <c r="H107" s="58"/>
      <c r="I107" s="78"/>
    </row>
    <row r="108" spans="1:9" ht="21.95" customHeight="1">
      <c r="A108" s="63"/>
      <c r="B108" s="63" t="s">
        <v>363</v>
      </c>
      <c r="C108" s="42" t="s">
        <v>35</v>
      </c>
      <c r="D108" s="227">
        <v>58.78</v>
      </c>
      <c r="E108" s="227">
        <v>58.78</v>
      </c>
      <c r="F108" s="227">
        <v>58.78</v>
      </c>
      <c r="G108" s="227">
        <v>58.78</v>
      </c>
      <c r="H108" s="58">
        <f t="shared" ref="H108:H118" si="33">E108/D108%</f>
        <v>100</v>
      </c>
      <c r="I108" s="78">
        <f t="shared" si="29"/>
        <v>100</v>
      </c>
    </row>
    <row r="109" spans="1:9" s="48" customFormat="1" ht="21.95" customHeight="1">
      <c r="A109" s="63"/>
      <c r="B109" s="63" t="s">
        <v>114</v>
      </c>
      <c r="C109" s="42" t="s">
        <v>35</v>
      </c>
      <c r="D109" s="227">
        <v>80.11</v>
      </c>
      <c r="E109" s="227">
        <v>80.11</v>
      </c>
      <c r="F109" s="227">
        <v>80.11</v>
      </c>
      <c r="G109" s="227">
        <v>80.11</v>
      </c>
      <c r="H109" s="58">
        <f t="shared" si="33"/>
        <v>100</v>
      </c>
      <c r="I109" s="78">
        <f t="shared" si="29"/>
        <v>100</v>
      </c>
    </row>
    <row r="110" spans="1:9" s="48" customFormat="1" ht="21.95" customHeight="1">
      <c r="A110" s="63"/>
      <c r="B110" s="63" t="s">
        <v>115</v>
      </c>
      <c r="C110" s="42" t="s">
        <v>35</v>
      </c>
      <c r="D110" s="228">
        <v>100</v>
      </c>
      <c r="E110" s="228">
        <v>100</v>
      </c>
      <c r="F110" s="228">
        <v>100</v>
      </c>
      <c r="G110" s="228">
        <v>100</v>
      </c>
      <c r="H110" s="58">
        <f t="shared" si="33"/>
        <v>100</v>
      </c>
      <c r="I110" s="78">
        <f t="shared" si="29"/>
        <v>100</v>
      </c>
    </row>
    <row r="111" spans="1:9" s="48" customFormat="1">
      <c r="A111" s="63"/>
      <c r="B111" s="123" t="s">
        <v>514</v>
      </c>
      <c r="C111" s="42" t="s">
        <v>71</v>
      </c>
      <c r="D111" s="92">
        <v>209</v>
      </c>
      <c r="E111" s="92">
        <v>209</v>
      </c>
      <c r="F111" s="92">
        <v>209</v>
      </c>
      <c r="G111" s="92">
        <v>209</v>
      </c>
      <c r="H111" s="58">
        <f t="shared" si="33"/>
        <v>100</v>
      </c>
      <c r="I111" s="78">
        <f t="shared" si="29"/>
        <v>100</v>
      </c>
    </row>
    <row r="112" spans="1:9" s="48" customFormat="1" ht="21.95" customHeight="1">
      <c r="A112" s="63"/>
      <c r="B112" s="166" t="s">
        <v>252</v>
      </c>
      <c r="C112" s="42" t="s">
        <v>71</v>
      </c>
      <c r="D112" s="92">
        <v>209</v>
      </c>
      <c r="E112" s="92">
        <v>209</v>
      </c>
      <c r="F112" s="92">
        <v>209</v>
      </c>
      <c r="G112" s="92">
        <v>209</v>
      </c>
      <c r="H112" s="58">
        <f t="shared" si="33"/>
        <v>100</v>
      </c>
      <c r="I112" s="78">
        <f t="shared" si="29"/>
        <v>100</v>
      </c>
    </row>
    <row r="113" spans="1:11" s="48" customFormat="1" ht="21.95" customHeight="1">
      <c r="A113" s="63"/>
      <c r="B113" s="166" t="s">
        <v>515</v>
      </c>
      <c r="C113" s="42" t="s">
        <v>71</v>
      </c>
      <c r="D113" s="92">
        <v>199</v>
      </c>
      <c r="E113" s="92">
        <v>209</v>
      </c>
      <c r="F113" s="92">
        <v>209</v>
      </c>
      <c r="G113" s="92">
        <v>209</v>
      </c>
      <c r="H113" s="58">
        <f t="shared" si="33"/>
        <v>105.0251256281407</v>
      </c>
      <c r="I113" s="78">
        <f t="shared" si="29"/>
        <v>100</v>
      </c>
    </row>
    <row r="114" spans="1:11" s="48" customFormat="1" ht="21.95" customHeight="1">
      <c r="A114" s="63"/>
      <c r="B114" s="63" t="s">
        <v>253</v>
      </c>
      <c r="C114" s="42" t="s">
        <v>35</v>
      </c>
      <c r="D114" s="228">
        <v>100</v>
      </c>
      <c r="E114" s="228">
        <v>100</v>
      </c>
      <c r="F114" s="228">
        <v>100</v>
      </c>
      <c r="G114" s="228">
        <v>100</v>
      </c>
      <c r="H114" s="58">
        <f t="shared" si="33"/>
        <v>100</v>
      </c>
      <c r="I114" s="78">
        <f t="shared" si="29"/>
        <v>100</v>
      </c>
    </row>
    <row r="115" spans="1:11" s="48" customFormat="1" ht="21.95" customHeight="1">
      <c r="A115" s="63"/>
      <c r="B115" s="63" t="s">
        <v>254</v>
      </c>
      <c r="C115" s="42" t="s">
        <v>66</v>
      </c>
      <c r="D115" s="228">
        <v>10</v>
      </c>
      <c r="E115" s="228">
        <v>10</v>
      </c>
      <c r="F115" s="228">
        <v>10</v>
      </c>
      <c r="G115" s="228">
        <v>10</v>
      </c>
      <c r="H115" s="58">
        <f t="shared" si="33"/>
        <v>100</v>
      </c>
      <c r="I115" s="78">
        <f>G115/E115%</f>
        <v>100</v>
      </c>
    </row>
    <row r="116" spans="1:11" s="48" customFormat="1" ht="21.95" customHeight="1">
      <c r="A116" s="63"/>
      <c r="B116" s="63" t="s">
        <v>500</v>
      </c>
      <c r="C116" s="42" t="s">
        <v>35</v>
      </c>
      <c r="D116" s="228">
        <v>100</v>
      </c>
      <c r="E116" s="228">
        <v>100</v>
      </c>
      <c r="F116" s="228">
        <v>100</v>
      </c>
      <c r="G116" s="228">
        <v>100</v>
      </c>
      <c r="H116" s="58">
        <f t="shared" si="33"/>
        <v>100</v>
      </c>
      <c r="I116" s="78">
        <f t="shared" si="29"/>
        <v>100</v>
      </c>
    </row>
    <row r="117" spans="1:11" s="48" customFormat="1" ht="21.95" customHeight="1">
      <c r="A117" s="63"/>
      <c r="B117" s="63" t="s">
        <v>65</v>
      </c>
      <c r="C117" s="42" t="s">
        <v>71</v>
      </c>
      <c r="D117" s="92">
        <v>209</v>
      </c>
      <c r="E117" s="92">
        <v>209</v>
      </c>
      <c r="F117" s="92">
        <v>209</v>
      </c>
      <c r="G117" s="92">
        <v>209</v>
      </c>
      <c r="H117" s="58">
        <f t="shared" si="33"/>
        <v>100</v>
      </c>
      <c r="I117" s="78">
        <f t="shared" si="29"/>
        <v>100</v>
      </c>
    </row>
    <row r="118" spans="1:11" s="48" customFormat="1" ht="21.95" customHeight="1">
      <c r="A118" s="63"/>
      <c r="B118" s="63" t="s">
        <v>63</v>
      </c>
      <c r="C118" s="42" t="s">
        <v>35</v>
      </c>
      <c r="D118" s="24">
        <v>98.98</v>
      </c>
      <c r="E118" s="78">
        <v>98</v>
      </c>
      <c r="F118" s="42">
        <v>99.42</v>
      </c>
      <c r="G118" s="78">
        <v>98</v>
      </c>
      <c r="H118" s="58">
        <f t="shared" si="33"/>
        <v>99.009900990099013</v>
      </c>
      <c r="I118" s="78">
        <f t="shared" si="29"/>
        <v>100</v>
      </c>
    </row>
    <row r="119" spans="1:11" s="48" customFormat="1" ht="21.95" customHeight="1">
      <c r="A119" s="63"/>
      <c r="B119" s="163" t="s">
        <v>501</v>
      </c>
      <c r="C119" s="589" t="s">
        <v>35</v>
      </c>
      <c r="D119" s="575">
        <v>93.9</v>
      </c>
      <c r="E119" s="575">
        <v>95</v>
      </c>
      <c r="F119" s="575">
        <v>95</v>
      </c>
      <c r="G119" s="575">
        <v>95</v>
      </c>
      <c r="H119" s="229" t="s">
        <v>52</v>
      </c>
      <c r="I119" s="526" t="s">
        <v>52</v>
      </c>
      <c r="J119" s="524"/>
    </row>
    <row r="120" spans="1:11" s="48" customFormat="1" ht="21.95" customHeight="1">
      <c r="A120" s="63"/>
      <c r="B120" s="163" t="s">
        <v>502</v>
      </c>
      <c r="C120" s="589" t="s">
        <v>116</v>
      </c>
      <c r="D120" s="576">
        <f>D121+D122+D123+D124</f>
        <v>705</v>
      </c>
      <c r="E120" s="576">
        <f t="shared" ref="E120:F120" si="34">E121+E122+E123+E124</f>
        <v>710</v>
      </c>
      <c r="F120" s="576">
        <f t="shared" si="34"/>
        <v>710</v>
      </c>
      <c r="G120" s="577">
        <f>SUM(G121:G124)</f>
        <v>710</v>
      </c>
      <c r="H120" s="110">
        <f t="shared" si="28"/>
        <v>100.70921985815603</v>
      </c>
      <c r="I120" s="111">
        <f t="shared" si="29"/>
        <v>100</v>
      </c>
      <c r="J120" s="241"/>
      <c r="K120" s="241"/>
    </row>
    <row r="121" spans="1:11" s="48" customFormat="1" ht="21.95" customHeight="1">
      <c r="A121" s="45"/>
      <c r="B121" s="54" t="s">
        <v>365</v>
      </c>
      <c r="C121" s="24" t="s">
        <v>117</v>
      </c>
      <c r="D121" s="578">
        <v>239</v>
      </c>
      <c r="E121" s="578">
        <v>239</v>
      </c>
      <c r="F121" s="578">
        <v>239</v>
      </c>
      <c r="G121" s="109">
        <v>239</v>
      </c>
      <c r="H121" s="58">
        <f t="shared" si="28"/>
        <v>100</v>
      </c>
      <c r="I121" s="78">
        <f t="shared" si="29"/>
        <v>100</v>
      </c>
      <c r="J121" s="241"/>
      <c r="K121" s="241"/>
    </row>
    <row r="122" spans="1:11" s="48" customFormat="1" ht="21.95" customHeight="1">
      <c r="A122" s="45"/>
      <c r="B122" s="54" t="s">
        <v>366</v>
      </c>
      <c r="C122" s="24" t="s">
        <v>117</v>
      </c>
      <c r="D122" s="578">
        <v>217</v>
      </c>
      <c r="E122" s="578">
        <v>218</v>
      </c>
      <c r="F122" s="578">
        <v>218</v>
      </c>
      <c r="G122" s="109">
        <v>218</v>
      </c>
      <c r="H122" s="58">
        <f t="shared" si="28"/>
        <v>100.46082949308756</v>
      </c>
      <c r="I122" s="78">
        <f t="shared" si="29"/>
        <v>99.999999999999986</v>
      </c>
      <c r="J122" s="241"/>
      <c r="K122" s="241"/>
    </row>
    <row r="123" spans="1:11" s="48" customFormat="1" ht="21.95" customHeight="1">
      <c r="A123" s="45"/>
      <c r="B123" s="54" t="s">
        <v>367</v>
      </c>
      <c r="C123" s="24" t="s">
        <v>117</v>
      </c>
      <c r="D123" s="578">
        <v>215</v>
      </c>
      <c r="E123" s="578">
        <v>218</v>
      </c>
      <c r="F123" s="578">
        <v>218</v>
      </c>
      <c r="G123" s="109">
        <v>218</v>
      </c>
      <c r="H123" s="58">
        <f t="shared" si="28"/>
        <v>101.39534883720931</v>
      </c>
      <c r="I123" s="78">
        <f t="shared" si="29"/>
        <v>99.999999999999986</v>
      </c>
      <c r="J123" s="241"/>
      <c r="K123" s="241"/>
    </row>
    <row r="124" spans="1:11" s="48" customFormat="1" ht="21.95" customHeight="1">
      <c r="A124" s="45"/>
      <c r="B124" s="64" t="s">
        <v>368</v>
      </c>
      <c r="C124" s="24" t="s">
        <v>117</v>
      </c>
      <c r="D124" s="578">
        <v>34</v>
      </c>
      <c r="E124" s="578">
        <v>35</v>
      </c>
      <c r="F124" s="578">
        <v>35</v>
      </c>
      <c r="G124" s="151">
        <v>35</v>
      </c>
      <c r="H124" s="58">
        <f t="shared" si="28"/>
        <v>102.94117647058823</v>
      </c>
      <c r="I124" s="78">
        <f t="shared" si="29"/>
        <v>100</v>
      </c>
      <c r="J124" s="241"/>
      <c r="K124" s="241"/>
    </row>
    <row r="125" spans="1:11" s="48" customFormat="1" ht="21.95" customHeight="1">
      <c r="A125" s="45"/>
      <c r="B125" s="163" t="s">
        <v>301</v>
      </c>
      <c r="C125" s="591" t="s">
        <v>35</v>
      </c>
      <c r="D125" s="579">
        <v>15.8</v>
      </c>
      <c r="E125" s="579">
        <v>19.100000000000001</v>
      </c>
      <c r="F125" s="579">
        <v>19.100000000000001</v>
      </c>
      <c r="G125" s="580">
        <v>19.678714859437751</v>
      </c>
      <c r="H125" s="229" t="s">
        <v>52</v>
      </c>
      <c r="I125" s="526" t="s">
        <v>52</v>
      </c>
      <c r="J125" s="241"/>
      <c r="K125" s="241"/>
    </row>
    <row r="126" spans="1:11" s="48" customFormat="1" ht="21.95" customHeight="1">
      <c r="A126" s="63"/>
      <c r="B126" s="163" t="s">
        <v>300</v>
      </c>
      <c r="C126" s="589" t="s">
        <v>116</v>
      </c>
      <c r="D126" s="576">
        <f>D127+D128+D129+D130</f>
        <v>119</v>
      </c>
      <c r="E126" s="576">
        <f>E127+E128+E129+E130</f>
        <v>143</v>
      </c>
      <c r="F126" s="576">
        <f>F127+F128+F129+F130</f>
        <v>143</v>
      </c>
      <c r="G126" s="576">
        <f>G127+G128+G129+G130</f>
        <v>147</v>
      </c>
      <c r="H126" s="110">
        <f t="shared" ref="H126:H129" si="35">E126/D126%</f>
        <v>120.16806722689076</v>
      </c>
      <c r="I126" s="111">
        <f t="shared" ref="I126:I129" si="36">G126/E126%</f>
        <v>102.7972027972028</v>
      </c>
      <c r="J126" s="525"/>
      <c r="K126" s="241"/>
    </row>
    <row r="127" spans="1:11" s="48" customFormat="1" ht="21.95" customHeight="1">
      <c r="A127" s="45"/>
      <c r="B127" s="54" t="s">
        <v>365</v>
      </c>
      <c r="C127" s="24" t="s">
        <v>117</v>
      </c>
      <c r="D127" s="578">
        <v>44</v>
      </c>
      <c r="E127" s="578">
        <v>54</v>
      </c>
      <c r="F127" s="578">
        <v>54</v>
      </c>
      <c r="G127" s="109">
        <v>55</v>
      </c>
      <c r="H127" s="58">
        <f t="shared" si="35"/>
        <v>122.72727272727273</v>
      </c>
      <c r="I127" s="78">
        <f t="shared" si="36"/>
        <v>101.85185185185185</v>
      </c>
      <c r="J127" s="525"/>
      <c r="K127" s="241"/>
    </row>
    <row r="128" spans="1:11" s="48" customFormat="1" ht="21.95" customHeight="1">
      <c r="A128" s="45"/>
      <c r="B128" s="54" t="s">
        <v>366</v>
      </c>
      <c r="C128" s="24" t="s">
        <v>117</v>
      </c>
      <c r="D128" s="578">
        <v>60</v>
      </c>
      <c r="E128" s="578">
        <v>65</v>
      </c>
      <c r="F128" s="578">
        <v>65</v>
      </c>
      <c r="G128" s="109">
        <v>67</v>
      </c>
      <c r="H128" s="58">
        <f t="shared" si="35"/>
        <v>108.33333333333334</v>
      </c>
      <c r="I128" s="78">
        <f t="shared" si="36"/>
        <v>103.07692307692308</v>
      </c>
      <c r="J128" s="525"/>
      <c r="K128" s="241"/>
    </row>
    <row r="129" spans="1:11" s="48" customFormat="1" ht="21.95" customHeight="1">
      <c r="A129" s="45"/>
      <c r="B129" s="54" t="s">
        <v>367</v>
      </c>
      <c r="C129" s="24" t="s">
        <v>117</v>
      </c>
      <c r="D129" s="578">
        <v>14</v>
      </c>
      <c r="E129" s="578">
        <v>22</v>
      </c>
      <c r="F129" s="578">
        <v>22</v>
      </c>
      <c r="G129" s="109">
        <v>23</v>
      </c>
      <c r="H129" s="58">
        <f t="shared" si="35"/>
        <v>157.14285714285714</v>
      </c>
      <c r="I129" s="78">
        <f t="shared" si="36"/>
        <v>104.54545454545455</v>
      </c>
      <c r="J129" s="525"/>
      <c r="K129" s="241"/>
    </row>
    <row r="130" spans="1:11" s="48" customFormat="1" ht="21.95" customHeight="1">
      <c r="A130" s="45"/>
      <c r="B130" s="64" t="s">
        <v>368</v>
      </c>
      <c r="C130" s="24" t="s">
        <v>117</v>
      </c>
      <c r="D130" s="578">
        <v>1</v>
      </c>
      <c r="E130" s="578">
        <v>2</v>
      </c>
      <c r="F130" s="578">
        <v>2</v>
      </c>
      <c r="G130" s="154">
        <v>2</v>
      </c>
      <c r="H130" s="103" t="s">
        <v>52</v>
      </c>
      <c r="I130" s="113" t="s">
        <v>52</v>
      </c>
      <c r="J130" s="525"/>
      <c r="K130" s="241"/>
    </row>
    <row r="131" spans="1:11" s="48" customFormat="1" ht="21.95" customHeight="1">
      <c r="A131" s="63"/>
      <c r="B131" s="163" t="s">
        <v>0</v>
      </c>
      <c r="C131" s="589" t="s">
        <v>35</v>
      </c>
      <c r="D131" s="575">
        <v>93.8</v>
      </c>
      <c r="E131" s="575">
        <v>96</v>
      </c>
      <c r="F131" s="575">
        <v>96</v>
      </c>
      <c r="G131" s="575">
        <v>96.3</v>
      </c>
      <c r="H131" s="229" t="s">
        <v>52</v>
      </c>
      <c r="I131" s="526" t="s">
        <v>52</v>
      </c>
    </row>
    <row r="132" spans="1:11" s="48" customFormat="1" ht="21.95" customHeight="1">
      <c r="A132" s="45"/>
      <c r="B132" s="64" t="s">
        <v>369</v>
      </c>
      <c r="C132" s="45" t="s">
        <v>35</v>
      </c>
      <c r="D132" s="99">
        <v>89.753178758414364</v>
      </c>
      <c r="E132" s="99">
        <v>93.9</v>
      </c>
      <c r="F132" s="99">
        <v>93.9</v>
      </c>
      <c r="G132" s="99">
        <v>94.2</v>
      </c>
      <c r="H132" s="229" t="s">
        <v>52</v>
      </c>
      <c r="I132" s="526" t="s">
        <v>52</v>
      </c>
      <c r="J132" s="47"/>
    </row>
    <row r="133" spans="1:11" s="48" customFormat="1" ht="21.95" customHeight="1">
      <c r="A133" s="45"/>
      <c r="B133" s="64" t="s">
        <v>363</v>
      </c>
      <c r="C133" s="45" t="s">
        <v>35</v>
      </c>
      <c r="D133" s="99">
        <v>93.546694648478493</v>
      </c>
      <c r="E133" s="99">
        <v>95.5</v>
      </c>
      <c r="F133" s="99">
        <v>95.5</v>
      </c>
      <c r="G133" s="99">
        <v>96</v>
      </c>
      <c r="H133" s="229" t="s">
        <v>52</v>
      </c>
      <c r="I133" s="526" t="s">
        <v>52</v>
      </c>
      <c r="J133" s="29"/>
    </row>
    <row r="134" spans="1:11" s="48" customFormat="1" ht="21.95" customHeight="1">
      <c r="A134" s="45"/>
      <c r="B134" s="64" t="s">
        <v>364</v>
      </c>
      <c r="C134" s="45" t="s">
        <v>35</v>
      </c>
      <c r="D134" s="99">
        <v>97.69933816577371</v>
      </c>
      <c r="E134" s="99">
        <v>98.5</v>
      </c>
      <c r="F134" s="99">
        <v>98.5</v>
      </c>
      <c r="G134" s="99">
        <v>98.6</v>
      </c>
      <c r="H134" s="229" t="s">
        <v>52</v>
      </c>
      <c r="I134" s="526" t="s">
        <v>52</v>
      </c>
      <c r="J134" s="29"/>
    </row>
    <row r="135" spans="1:11" s="48" customFormat="1" ht="21.95" customHeight="1">
      <c r="A135" s="45"/>
      <c r="B135" s="64" t="s">
        <v>370</v>
      </c>
      <c r="C135" s="45" t="s">
        <v>35</v>
      </c>
      <c r="D135" s="99">
        <v>98.539518900343637</v>
      </c>
      <c r="E135" s="99">
        <v>98.5</v>
      </c>
      <c r="F135" s="99">
        <v>98.5</v>
      </c>
      <c r="G135" s="99">
        <v>99.1</v>
      </c>
      <c r="H135" s="229" t="s">
        <v>52</v>
      </c>
      <c r="I135" s="526" t="s">
        <v>52</v>
      </c>
    </row>
    <row r="136" spans="1:11" s="48" customFormat="1">
      <c r="A136" s="589">
        <v>2</v>
      </c>
      <c r="B136" s="57" t="s">
        <v>255</v>
      </c>
      <c r="C136" s="589"/>
      <c r="D136" s="24"/>
      <c r="E136" s="24"/>
      <c r="F136" s="24"/>
      <c r="G136" s="24"/>
      <c r="H136" s="24"/>
      <c r="I136" s="73"/>
    </row>
    <row r="137" spans="1:11" s="586" customFormat="1" ht="24.95" customHeight="1">
      <c r="A137" s="109"/>
      <c r="B137" s="587" t="s">
        <v>591</v>
      </c>
      <c r="C137" s="109" t="s">
        <v>256</v>
      </c>
      <c r="D137" s="578">
        <v>661</v>
      </c>
      <c r="E137" s="578">
        <v>600</v>
      </c>
      <c r="F137" s="578">
        <v>600</v>
      </c>
      <c r="G137" s="578">
        <v>700</v>
      </c>
      <c r="H137" s="99">
        <f>F137/D137*100</f>
        <v>90.771558245083213</v>
      </c>
      <c r="I137" s="102">
        <f>G137/F137*100</f>
        <v>116.66666666666667</v>
      </c>
    </row>
    <row r="138" spans="1:11" s="586" customFormat="1" ht="24.95" customHeight="1">
      <c r="A138" s="109"/>
      <c r="B138" s="587" t="s">
        <v>587</v>
      </c>
      <c r="C138" s="109" t="s">
        <v>256</v>
      </c>
      <c r="D138" s="578">
        <v>661</v>
      </c>
      <c r="E138" s="578">
        <v>600</v>
      </c>
      <c r="F138" s="578">
        <v>600</v>
      </c>
      <c r="G138" s="578">
        <v>600</v>
      </c>
      <c r="H138" s="104" t="s">
        <v>52</v>
      </c>
      <c r="I138" s="186" t="s">
        <v>52</v>
      </c>
    </row>
    <row r="139" spans="1:11" s="586" customFormat="1" ht="24.95" customHeight="1">
      <c r="A139" s="109"/>
      <c r="B139" s="587" t="s">
        <v>588</v>
      </c>
      <c r="C139" s="109" t="s">
        <v>256</v>
      </c>
      <c r="D139" s="578" t="s">
        <v>589</v>
      </c>
      <c r="E139" s="578" t="s">
        <v>589</v>
      </c>
      <c r="F139" s="578" t="s">
        <v>589</v>
      </c>
      <c r="G139" s="578">
        <v>100</v>
      </c>
      <c r="H139" s="104" t="s">
        <v>52</v>
      </c>
      <c r="I139" s="186" t="s">
        <v>52</v>
      </c>
    </row>
    <row r="140" spans="1:11" s="586" customFormat="1" ht="24.95" customHeight="1">
      <c r="A140" s="109"/>
      <c r="B140" s="587" t="s">
        <v>592</v>
      </c>
      <c r="C140" s="109" t="s">
        <v>26</v>
      </c>
      <c r="D140" s="151">
        <f t="shared" ref="D140:F140" si="37">D141+D142+D143+D144+D145</f>
        <v>1824</v>
      </c>
      <c r="E140" s="151">
        <f t="shared" si="37"/>
        <v>2120</v>
      </c>
      <c r="F140" s="151">
        <f t="shared" si="37"/>
        <v>2120</v>
      </c>
      <c r="G140" s="151">
        <f>G141+G142+G143+G144+G145</f>
        <v>2060</v>
      </c>
      <c r="H140" s="99">
        <f t="shared" ref="H140:H145" si="38">F140/D140*100</f>
        <v>116.22807017543859</v>
      </c>
      <c r="I140" s="102">
        <f t="shared" ref="I140:I145" si="39">G140/F140*100</f>
        <v>97.169811320754718</v>
      </c>
    </row>
    <row r="141" spans="1:11" s="586" customFormat="1" ht="21.75" customHeight="1">
      <c r="A141" s="109"/>
      <c r="B141" s="587" t="s">
        <v>371</v>
      </c>
      <c r="C141" s="109" t="str">
        <f>C140</f>
        <v>Học sinh</v>
      </c>
      <c r="D141" s="109">
        <v>115</v>
      </c>
      <c r="E141" s="109">
        <v>175</v>
      </c>
      <c r="F141" s="109">
        <v>175</v>
      </c>
      <c r="G141" s="109">
        <v>120</v>
      </c>
      <c r="H141" s="99">
        <f t="shared" si="38"/>
        <v>152.17391304347828</v>
      </c>
      <c r="I141" s="102">
        <f t="shared" si="39"/>
        <v>68.571428571428569</v>
      </c>
    </row>
    <row r="142" spans="1:11" s="586" customFormat="1" ht="21.95" customHeight="1">
      <c r="A142" s="109"/>
      <c r="B142" s="587" t="s">
        <v>372</v>
      </c>
      <c r="C142" s="109" t="s">
        <v>26</v>
      </c>
      <c r="D142" s="154">
        <v>768</v>
      </c>
      <c r="E142" s="154">
        <v>700</v>
      </c>
      <c r="F142" s="154">
        <v>700</v>
      </c>
      <c r="G142" s="154">
        <v>700</v>
      </c>
      <c r="H142" s="99">
        <f t="shared" si="38"/>
        <v>91.145833333333343</v>
      </c>
      <c r="I142" s="102">
        <f t="shared" si="39"/>
        <v>100</v>
      </c>
    </row>
    <row r="143" spans="1:11" s="586" customFormat="1" ht="21.95" customHeight="1">
      <c r="A143" s="109"/>
      <c r="B143" s="587" t="s">
        <v>590</v>
      </c>
      <c r="C143" s="109" t="s">
        <v>26</v>
      </c>
      <c r="D143" s="154">
        <v>705</v>
      </c>
      <c r="E143" s="154">
        <v>750</v>
      </c>
      <c r="F143" s="154">
        <v>750</v>
      </c>
      <c r="G143" s="154">
        <v>750</v>
      </c>
      <c r="H143" s="99">
        <f t="shared" si="38"/>
        <v>106.38297872340425</v>
      </c>
      <c r="I143" s="102">
        <f t="shared" si="39"/>
        <v>100</v>
      </c>
    </row>
    <row r="144" spans="1:11" s="586" customFormat="1" ht="21.95" customHeight="1">
      <c r="A144" s="109"/>
      <c r="B144" s="587" t="s">
        <v>373</v>
      </c>
      <c r="C144" s="109" t="str">
        <f>C143</f>
        <v>Học sinh</v>
      </c>
      <c r="D144" s="578">
        <v>76</v>
      </c>
      <c r="E144" s="578">
        <v>85</v>
      </c>
      <c r="F144" s="578">
        <v>85</v>
      </c>
      <c r="G144" s="578">
        <v>90</v>
      </c>
      <c r="H144" s="99">
        <f t="shared" si="38"/>
        <v>111.8421052631579</v>
      </c>
      <c r="I144" s="102">
        <f t="shared" si="39"/>
        <v>105.88235294117648</v>
      </c>
    </row>
    <row r="145" spans="1:9" s="48" customFormat="1" ht="21.95" customHeight="1">
      <c r="A145" s="42"/>
      <c r="B145" s="123" t="s">
        <v>519</v>
      </c>
      <c r="C145" s="42" t="str">
        <f>C144</f>
        <v>Học sinh</v>
      </c>
      <c r="D145" s="228">
        <f>100+60</f>
        <v>160</v>
      </c>
      <c r="E145" s="228">
        <f>350+60</f>
        <v>410</v>
      </c>
      <c r="F145" s="228">
        <f>350+60</f>
        <v>410</v>
      </c>
      <c r="G145" s="228">
        <v>400</v>
      </c>
      <c r="H145" s="58">
        <f t="shared" si="38"/>
        <v>256.25</v>
      </c>
      <c r="I145" s="78">
        <f t="shared" si="39"/>
        <v>97.560975609756099</v>
      </c>
    </row>
    <row r="146" spans="1:9" ht="27.75" customHeight="1">
      <c r="A146" s="196">
        <v>6</v>
      </c>
      <c r="B146" s="217" t="s">
        <v>206</v>
      </c>
      <c r="C146" s="218"/>
      <c r="D146" s="220"/>
      <c r="E146" s="220"/>
      <c r="F146" s="220"/>
      <c r="G146" s="220"/>
      <c r="H146" s="219"/>
      <c r="I146" s="219"/>
    </row>
    <row r="147" spans="1:9" ht="21.95" customHeight="1">
      <c r="A147" s="63"/>
      <c r="B147" s="191" t="s">
        <v>374</v>
      </c>
      <c r="C147" s="50" t="str">
        <f>C148</f>
        <v>bản</v>
      </c>
      <c r="D147" s="39">
        <f t="shared" ref="D147:F147" si="40">D148+D149</f>
        <v>292300</v>
      </c>
      <c r="E147" s="39">
        <f t="shared" si="40"/>
        <v>301900</v>
      </c>
      <c r="F147" s="39">
        <f t="shared" si="40"/>
        <v>301900</v>
      </c>
      <c r="G147" s="39">
        <f>G148+G149</f>
        <v>307000</v>
      </c>
      <c r="H147" s="99">
        <f t="shared" ref="H147:H148" si="41">F147/D147*100</f>
        <v>103.28429695518304</v>
      </c>
      <c r="I147" s="102">
        <f t="shared" ref="I147:I148" si="42">G147/F147*100</f>
        <v>101.68930109307716</v>
      </c>
    </row>
    <row r="148" spans="1:9" ht="21.95" customHeight="1">
      <c r="A148" s="63"/>
      <c r="B148" s="119" t="s">
        <v>385</v>
      </c>
      <c r="C148" s="192" t="s">
        <v>287</v>
      </c>
      <c r="D148" s="82">
        <v>171900</v>
      </c>
      <c r="E148" s="82">
        <v>176900</v>
      </c>
      <c r="F148" s="82">
        <v>176900</v>
      </c>
      <c r="G148" s="82">
        <v>180000</v>
      </c>
      <c r="H148" s="99">
        <f t="shared" si="41"/>
        <v>102.90866783013379</v>
      </c>
      <c r="I148" s="102">
        <f t="shared" si="42"/>
        <v>101.75240248728095</v>
      </c>
    </row>
    <row r="149" spans="1:9" ht="21.95" customHeight="1">
      <c r="A149" s="63"/>
      <c r="B149" s="119" t="s">
        <v>386</v>
      </c>
      <c r="C149" s="192" t="s">
        <v>287</v>
      </c>
      <c r="D149" s="82">
        <v>120400</v>
      </c>
      <c r="E149" s="82">
        <v>125000</v>
      </c>
      <c r="F149" s="82">
        <v>125000</v>
      </c>
      <c r="G149" s="82">
        <v>127000</v>
      </c>
      <c r="H149" s="99">
        <f t="shared" ref="H149:H153" si="43">F149/D149*100</f>
        <v>103.82059800664452</v>
      </c>
      <c r="I149" s="102">
        <f t="shared" ref="I149:I153" si="44">G149/F149*100</f>
        <v>101.6</v>
      </c>
    </row>
    <row r="150" spans="1:9" ht="21.95" customHeight="1">
      <c r="A150" s="63"/>
      <c r="B150" s="191" t="s">
        <v>375</v>
      </c>
      <c r="C150" s="50" t="s">
        <v>75</v>
      </c>
      <c r="D150" s="39">
        <v>7300</v>
      </c>
      <c r="E150" s="39">
        <v>7300</v>
      </c>
      <c r="F150" s="39">
        <v>7300</v>
      </c>
      <c r="G150" s="486">
        <v>7300</v>
      </c>
      <c r="H150" s="99">
        <f t="shared" si="43"/>
        <v>100</v>
      </c>
      <c r="I150" s="102">
        <f t="shared" si="44"/>
        <v>100</v>
      </c>
    </row>
    <row r="151" spans="1:9" s="48" customFormat="1" ht="21.95" customHeight="1">
      <c r="A151" s="67"/>
      <c r="B151" s="149" t="s">
        <v>101</v>
      </c>
      <c r="C151" s="150" t="s">
        <v>75</v>
      </c>
      <c r="D151" s="81">
        <v>30</v>
      </c>
      <c r="E151" s="81">
        <v>30</v>
      </c>
      <c r="F151" s="81">
        <v>30</v>
      </c>
      <c r="G151" s="486">
        <v>30</v>
      </c>
      <c r="H151" s="99">
        <f t="shared" si="43"/>
        <v>100</v>
      </c>
      <c r="I151" s="102">
        <f t="shared" si="44"/>
        <v>100</v>
      </c>
    </row>
    <row r="152" spans="1:9" ht="21.95" customHeight="1">
      <c r="A152" s="63"/>
      <c r="B152" s="191" t="s">
        <v>376</v>
      </c>
      <c r="C152" s="50" t="s">
        <v>75</v>
      </c>
      <c r="D152" s="39">
        <v>8760</v>
      </c>
      <c r="E152" s="39">
        <v>8760</v>
      </c>
      <c r="F152" s="39">
        <v>8760</v>
      </c>
      <c r="G152" s="486">
        <v>8760</v>
      </c>
      <c r="H152" s="99">
        <f t="shared" si="43"/>
        <v>100</v>
      </c>
      <c r="I152" s="102">
        <f t="shared" si="44"/>
        <v>100</v>
      </c>
    </row>
    <row r="153" spans="1:9" s="48" customFormat="1" ht="21.95" customHeight="1">
      <c r="A153" s="67"/>
      <c r="B153" s="149" t="s">
        <v>102</v>
      </c>
      <c r="C153" s="150" t="s">
        <v>75</v>
      </c>
      <c r="D153" s="81">
        <v>80</v>
      </c>
      <c r="E153" s="81">
        <v>80</v>
      </c>
      <c r="F153" s="81">
        <v>80</v>
      </c>
      <c r="G153" s="486">
        <v>80</v>
      </c>
      <c r="H153" s="99">
        <f t="shared" si="43"/>
        <v>100</v>
      </c>
      <c r="I153" s="102">
        <f t="shared" si="44"/>
        <v>100</v>
      </c>
    </row>
    <row r="154" spans="1:9" ht="21.95" customHeight="1">
      <c r="A154" s="63"/>
      <c r="B154" s="223" t="s">
        <v>493</v>
      </c>
      <c r="C154" s="224" t="s">
        <v>494</v>
      </c>
      <c r="D154" s="85">
        <v>206</v>
      </c>
      <c r="E154" s="42">
        <v>207</v>
      </c>
      <c r="F154" s="42">
        <v>207</v>
      </c>
      <c r="G154" s="484">
        <v>209</v>
      </c>
      <c r="H154" s="99">
        <f t="shared" ref="H154:H157" si="45">F154/D154*100</f>
        <v>100.48543689320388</v>
      </c>
      <c r="I154" s="102">
        <f t="shared" ref="I154:I157" si="46">G154/F154*100</f>
        <v>100.96618357487924</v>
      </c>
    </row>
    <row r="155" spans="1:9" ht="21.95" customHeight="1">
      <c r="A155" s="63"/>
      <c r="B155" s="120" t="s">
        <v>377</v>
      </c>
      <c r="C155" s="97" t="s">
        <v>25</v>
      </c>
      <c r="D155" s="28">
        <v>115</v>
      </c>
      <c r="E155" s="28">
        <v>130</v>
      </c>
      <c r="F155" s="28">
        <v>129</v>
      </c>
      <c r="G155" s="28">
        <v>132</v>
      </c>
      <c r="H155" s="99">
        <f t="shared" si="45"/>
        <v>112.17391304347825</v>
      </c>
      <c r="I155" s="102">
        <f t="shared" si="46"/>
        <v>102.32558139534885</v>
      </c>
    </row>
    <row r="156" spans="1:9" ht="21.95" customHeight="1">
      <c r="A156" s="63"/>
      <c r="B156" s="120" t="s">
        <v>378</v>
      </c>
      <c r="C156" s="97" t="s">
        <v>35</v>
      </c>
      <c r="D156" s="103">
        <f t="shared" ref="D156:E156" si="47">D155*100/184</f>
        <v>62.5</v>
      </c>
      <c r="E156" s="103">
        <f t="shared" si="47"/>
        <v>70.652173913043484</v>
      </c>
      <c r="F156" s="103">
        <v>70.879120879120876</v>
      </c>
      <c r="G156" s="103">
        <v>73</v>
      </c>
      <c r="H156" s="99">
        <f t="shared" si="45"/>
        <v>113.4065934065934</v>
      </c>
      <c r="I156" s="102">
        <f t="shared" si="46"/>
        <v>102.99224806201551</v>
      </c>
    </row>
    <row r="157" spans="1:9" ht="21.95" customHeight="1">
      <c r="A157" s="63"/>
      <c r="B157" s="95" t="s">
        <v>379</v>
      </c>
      <c r="C157" s="97" t="s">
        <v>233</v>
      </c>
      <c r="D157" s="66">
        <v>21</v>
      </c>
      <c r="E157" s="103">
        <v>23</v>
      </c>
      <c r="F157" s="103">
        <v>23</v>
      </c>
      <c r="G157" s="103">
        <v>23</v>
      </c>
      <c r="H157" s="99">
        <f t="shared" si="45"/>
        <v>109.52380952380953</v>
      </c>
      <c r="I157" s="102">
        <f t="shared" si="46"/>
        <v>100</v>
      </c>
    </row>
    <row r="158" spans="1:9" ht="21.95" customHeight="1">
      <c r="A158" s="63"/>
      <c r="B158" s="95" t="s">
        <v>380</v>
      </c>
      <c r="C158" s="97" t="s">
        <v>35</v>
      </c>
      <c r="D158" s="40">
        <f t="shared" ref="D158" si="48">D157*100/25</f>
        <v>84</v>
      </c>
      <c r="E158" s="40">
        <f>E157*100/25</f>
        <v>92</v>
      </c>
      <c r="F158" s="66">
        <v>85.2</v>
      </c>
      <c r="G158" s="66">
        <v>85.2</v>
      </c>
      <c r="H158" s="104" t="s">
        <v>52</v>
      </c>
      <c r="I158" s="186" t="s">
        <v>52</v>
      </c>
    </row>
    <row r="159" spans="1:9" ht="21.95" customHeight="1">
      <c r="A159" s="63"/>
      <c r="B159" s="108" t="s">
        <v>381</v>
      </c>
      <c r="C159" s="109" t="s">
        <v>35</v>
      </c>
      <c r="D159" s="42">
        <v>80.7</v>
      </c>
      <c r="E159" s="78">
        <v>81</v>
      </c>
      <c r="F159" s="78">
        <v>81</v>
      </c>
      <c r="G159" s="78">
        <v>81</v>
      </c>
      <c r="H159" s="104" t="s">
        <v>52</v>
      </c>
      <c r="I159" s="186" t="s">
        <v>52</v>
      </c>
    </row>
    <row r="160" spans="1:9" ht="37.5">
      <c r="A160" s="63"/>
      <c r="B160" s="108" t="s">
        <v>60</v>
      </c>
      <c r="C160" s="109" t="s">
        <v>35</v>
      </c>
      <c r="D160" s="65">
        <v>88</v>
      </c>
      <c r="E160" s="65">
        <v>88.5</v>
      </c>
      <c r="F160" s="65">
        <v>88.5</v>
      </c>
      <c r="G160" s="65">
        <v>88.6</v>
      </c>
      <c r="H160" s="104" t="s">
        <v>52</v>
      </c>
      <c r="I160" s="186" t="s">
        <v>52</v>
      </c>
    </row>
    <row r="161" spans="1:12" ht="37.5">
      <c r="A161" s="63"/>
      <c r="B161" s="108" t="s">
        <v>506</v>
      </c>
      <c r="C161" s="109" t="s">
        <v>35</v>
      </c>
      <c r="D161" s="65">
        <v>86.1</v>
      </c>
      <c r="E161" s="65">
        <v>86.5</v>
      </c>
      <c r="F161" s="65">
        <v>86.5</v>
      </c>
      <c r="G161" s="65">
        <f>F161</f>
        <v>86.5</v>
      </c>
      <c r="H161" s="104" t="s">
        <v>52</v>
      </c>
      <c r="I161" s="186" t="s">
        <v>52</v>
      </c>
    </row>
    <row r="162" spans="1:12" s="122" customFormat="1" ht="25.5" customHeight="1">
      <c r="A162" s="198">
        <v>7</v>
      </c>
      <c r="B162" s="197" t="s">
        <v>227</v>
      </c>
      <c r="C162" s="198"/>
      <c r="D162" s="197"/>
      <c r="E162" s="197"/>
      <c r="F162" s="197"/>
      <c r="G162" s="197"/>
      <c r="H162" s="216"/>
      <c r="I162" s="216"/>
    </row>
    <row r="163" spans="1:12" ht="20.100000000000001" customHeight="1">
      <c r="A163" s="59"/>
      <c r="B163" s="123" t="s">
        <v>593</v>
      </c>
      <c r="C163" s="24" t="s">
        <v>35</v>
      </c>
      <c r="D163" s="99">
        <v>61.421639091296932</v>
      </c>
      <c r="E163" s="40">
        <v>62.558872944824969</v>
      </c>
      <c r="F163" s="40">
        <v>63.019228166208741</v>
      </c>
      <c r="G163" s="596">
        <v>64.434833627756305</v>
      </c>
      <c r="H163" s="70" t="s">
        <v>52</v>
      </c>
      <c r="I163" s="70" t="s">
        <v>52</v>
      </c>
    </row>
    <row r="164" spans="1:12" ht="20.100000000000001" customHeight="1">
      <c r="A164" s="59"/>
      <c r="B164" s="251" t="s">
        <v>352</v>
      </c>
      <c r="C164" s="60" t="s">
        <v>35</v>
      </c>
      <c r="D164" s="58">
        <v>91.102000000000004</v>
      </c>
      <c r="E164" s="40">
        <v>92.013020000000012</v>
      </c>
      <c r="F164" s="40">
        <v>92.013020000000012</v>
      </c>
      <c r="G164" s="541">
        <v>92.933150200000014</v>
      </c>
      <c r="H164" s="70" t="s">
        <v>52</v>
      </c>
      <c r="I164" s="70" t="s">
        <v>52</v>
      </c>
      <c r="J164" s="252"/>
    </row>
    <row r="165" spans="1:12" ht="20.100000000000001" customHeight="1">
      <c r="A165" s="59"/>
      <c r="B165" s="251" t="s">
        <v>351</v>
      </c>
      <c r="C165" s="60" t="s">
        <v>35</v>
      </c>
      <c r="D165" s="58">
        <f>'Bieu 4'!D171</f>
        <v>54.81</v>
      </c>
      <c r="E165" s="58">
        <f>'Bieu 4'!E171</f>
        <v>56</v>
      </c>
      <c r="F165" s="58">
        <f>'Bieu 4'!F171</f>
        <v>56</v>
      </c>
      <c r="G165" s="58">
        <f>'Bieu 4'!G171</f>
        <v>57.5</v>
      </c>
      <c r="H165" s="70" t="s">
        <v>52</v>
      </c>
      <c r="I165" s="70" t="s">
        <v>52</v>
      </c>
      <c r="J165" s="252"/>
      <c r="K165" s="252"/>
      <c r="L165" s="252"/>
    </row>
    <row r="166" spans="1:12" ht="19.5" customHeight="1">
      <c r="A166" s="59"/>
      <c r="B166" s="123" t="s">
        <v>342</v>
      </c>
      <c r="C166" s="24" t="s">
        <v>35</v>
      </c>
      <c r="D166" s="78">
        <v>89.3</v>
      </c>
      <c r="E166" s="78">
        <v>93.1</v>
      </c>
      <c r="F166" s="78">
        <v>93.1</v>
      </c>
      <c r="G166" s="483">
        <v>93.5</v>
      </c>
      <c r="H166" s="70" t="s">
        <v>52</v>
      </c>
      <c r="I166" s="70" t="s">
        <v>52</v>
      </c>
    </row>
    <row r="167" spans="1:12" s="48" customFormat="1" ht="20.100000000000001" customHeight="1">
      <c r="A167" s="60"/>
      <c r="B167" s="251" t="s">
        <v>352</v>
      </c>
      <c r="C167" s="60" t="s">
        <v>35</v>
      </c>
      <c r="D167" s="78">
        <v>96.5</v>
      </c>
      <c r="E167" s="78">
        <v>96.696624149999991</v>
      </c>
      <c r="F167" s="78">
        <v>96.696624149999991</v>
      </c>
      <c r="G167" s="483">
        <v>97</v>
      </c>
      <c r="H167" s="70" t="s">
        <v>52</v>
      </c>
      <c r="I167" s="70" t="s">
        <v>52</v>
      </c>
    </row>
    <row r="168" spans="1:12" s="48" customFormat="1" ht="20.100000000000001" customHeight="1">
      <c r="A168" s="60"/>
      <c r="B168" s="251" t="s">
        <v>351</v>
      </c>
      <c r="C168" s="60" t="s">
        <v>35</v>
      </c>
      <c r="D168" s="78">
        <v>87.5</v>
      </c>
      <c r="E168" s="78">
        <v>90</v>
      </c>
      <c r="F168" s="78">
        <v>90</v>
      </c>
      <c r="G168" s="483">
        <v>90.5</v>
      </c>
      <c r="H168" s="70" t="s">
        <v>52</v>
      </c>
      <c r="I168" s="70" t="s">
        <v>52</v>
      </c>
    </row>
    <row r="169" spans="1:12" ht="20.100000000000001" customHeight="1">
      <c r="A169" s="59"/>
      <c r="B169" s="123" t="s">
        <v>528</v>
      </c>
      <c r="C169" s="24" t="s">
        <v>35</v>
      </c>
      <c r="D169" s="78">
        <v>93</v>
      </c>
      <c r="E169" s="78">
        <v>93</v>
      </c>
      <c r="F169" s="78">
        <v>93</v>
      </c>
      <c r="G169" s="483">
        <v>93.5</v>
      </c>
      <c r="H169" s="70" t="s">
        <v>52</v>
      </c>
      <c r="I169" s="70" t="s">
        <v>52</v>
      </c>
    </row>
    <row r="170" spans="1:12" s="91" customFormat="1" ht="20.100000000000001" customHeight="1">
      <c r="A170" s="60"/>
      <c r="B170" s="251" t="s">
        <v>352</v>
      </c>
      <c r="C170" s="60" t="s">
        <v>35</v>
      </c>
      <c r="D170" s="78">
        <v>98</v>
      </c>
      <c r="E170" s="78">
        <v>98</v>
      </c>
      <c r="F170" s="78">
        <v>98</v>
      </c>
      <c r="G170" s="483">
        <v>98</v>
      </c>
      <c r="H170" s="70" t="s">
        <v>52</v>
      </c>
      <c r="I170" s="70" t="s">
        <v>52</v>
      </c>
    </row>
    <row r="171" spans="1:12" s="91" customFormat="1" ht="20.100000000000001" customHeight="1">
      <c r="A171" s="60"/>
      <c r="B171" s="251" t="s">
        <v>351</v>
      </c>
      <c r="C171" s="60" t="s">
        <v>35</v>
      </c>
      <c r="D171" s="78">
        <v>87.8</v>
      </c>
      <c r="E171" s="78">
        <v>87.8</v>
      </c>
      <c r="F171" s="78">
        <v>87.8</v>
      </c>
      <c r="G171" s="483">
        <v>90</v>
      </c>
      <c r="H171" s="70" t="s">
        <v>52</v>
      </c>
      <c r="I171" s="70" t="s">
        <v>52</v>
      </c>
    </row>
    <row r="172" spans="1:12" ht="20.100000000000001" customHeight="1">
      <c r="A172" s="59"/>
      <c r="B172" s="123" t="s">
        <v>343</v>
      </c>
      <c r="C172" s="98" t="s">
        <v>103</v>
      </c>
      <c r="D172" s="78">
        <v>31</v>
      </c>
      <c r="E172" s="78">
        <v>32</v>
      </c>
      <c r="F172" s="78">
        <v>32</v>
      </c>
      <c r="G172" s="485">
        <v>32</v>
      </c>
      <c r="H172" s="70" t="s">
        <v>52</v>
      </c>
      <c r="I172" s="70" t="s">
        <v>52</v>
      </c>
    </row>
    <row r="173" spans="1:12" ht="35.1" customHeight="1">
      <c r="A173" s="59"/>
      <c r="B173" s="123" t="s">
        <v>344</v>
      </c>
      <c r="C173" s="24" t="s">
        <v>35</v>
      </c>
      <c r="D173" s="78">
        <v>50</v>
      </c>
      <c r="E173" s="78">
        <v>78.099999999999994</v>
      </c>
      <c r="F173" s="78">
        <v>78.099999999999994</v>
      </c>
      <c r="G173" s="485">
        <f>28/G172*100</f>
        <v>87.5</v>
      </c>
      <c r="H173" s="70" t="s">
        <v>52</v>
      </c>
      <c r="I173" s="70" t="s">
        <v>52</v>
      </c>
    </row>
    <row r="174" spans="1:12" ht="20.100000000000001" customHeight="1">
      <c r="A174" s="59"/>
      <c r="B174" s="123" t="s">
        <v>578</v>
      </c>
      <c r="C174" s="24" t="s">
        <v>98</v>
      </c>
      <c r="D174" s="78">
        <v>4</v>
      </c>
      <c r="E174" s="78">
        <v>7</v>
      </c>
      <c r="F174" s="78">
        <v>7</v>
      </c>
      <c r="G174" s="483">
        <v>8</v>
      </c>
      <c r="H174" s="70" t="s">
        <v>52</v>
      </c>
      <c r="I174" s="70" t="s">
        <v>52</v>
      </c>
    </row>
    <row r="175" spans="1:12" s="48" customFormat="1" ht="37.5">
      <c r="A175" s="124"/>
      <c r="B175" s="123" t="s">
        <v>345</v>
      </c>
      <c r="C175" s="24" t="s">
        <v>35</v>
      </c>
      <c r="D175" s="116">
        <v>100</v>
      </c>
      <c r="E175" s="116">
        <v>100</v>
      </c>
      <c r="F175" s="116">
        <v>100</v>
      </c>
      <c r="G175" s="486">
        <v>100</v>
      </c>
      <c r="H175" s="70" t="s">
        <v>52</v>
      </c>
      <c r="I175" s="70" t="s">
        <v>52</v>
      </c>
    </row>
    <row r="176" spans="1:12" s="48" customFormat="1" ht="20.100000000000001" customHeight="1">
      <c r="A176" s="59"/>
      <c r="B176" s="125" t="s">
        <v>346</v>
      </c>
      <c r="C176" s="24" t="s">
        <v>35</v>
      </c>
      <c r="D176" s="126">
        <v>4.79</v>
      </c>
      <c r="E176" s="74">
        <v>4.8380197499999991</v>
      </c>
      <c r="F176" s="74">
        <v>4.8380197499999991</v>
      </c>
      <c r="G176" s="487">
        <v>4.8622098487499983</v>
      </c>
      <c r="H176" s="70" t="s">
        <v>52</v>
      </c>
      <c r="I176" s="70" t="s">
        <v>52</v>
      </c>
    </row>
    <row r="177" spans="1:9" s="48" customFormat="1" ht="37.5">
      <c r="A177" s="124"/>
      <c r="B177" s="108" t="s">
        <v>347</v>
      </c>
      <c r="C177" s="109" t="s">
        <v>35</v>
      </c>
      <c r="D177" s="78">
        <v>78</v>
      </c>
      <c r="E177" s="78">
        <v>80</v>
      </c>
      <c r="F177" s="78">
        <v>80</v>
      </c>
      <c r="G177" s="483">
        <v>82</v>
      </c>
      <c r="H177" s="70" t="s">
        <v>52</v>
      </c>
      <c r="I177" s="70" t="s">
        <v>52</v>
      </c>
    </row>
    <row r="178" spans="1:9" s="48" customFormat="1" ht="37.5">
      <c r="A178" s="59"/>
      <c r="B178" s="108" t="s">
        <v>348</v>
      </c>
      <c r="C178" s="109" t="s">
        <v>35</v>
      </c>
      <c r="D178" s="78">
        <v>80</v>
      </c>
      <c r="E178" s="78">
        <v>82</v>
      </c>
      <c r="F178" s="78">
        <v>82</v>
      </c>
      <c r="G178" s="483">
        <v>83</v>
      </c>
      <c r="H178" s="70" t="s">
        <v>52</v>
      </c>
      <c r="I178" s="70" t="s">
        <v>52</v>
      </c>
    </row>
    <row r="179" spans="1:9" s="48" customFormat="1" ht="37.5">
      <c r="A179" s="59"/>
      <c r="B179" s="108" t="s">
        <v>568</v>
      </c>
      <c r="C179" s="109" t="s">
        <v>35</v>
      </c>
      <c r="D179" s="116">
        <v>100</v>
      </c>
      <c r="E179" s="116">
        <v>100</v>
      </c>
      <c r="F179" s="116">
        <v>100</v>
      </c>
      <c r="G179" s="483">
        <v>100</v>
      </c>
      <c r="H179" s="70" t="s">
        <v>52</v>
      </c>
      <c r="I179" s="70" t="s">
        <v>52</v>
      </c>
    </row>
    <row r="180" spans="1:9" s="48" customFormat="1" ht="21" customHeight="1">
      <c r="A180" s="59"/>
      <c r="B180" s="108" t="s">
        <v>349</v>
      </c>
      <c r="C180" s="109" t="s">
        <v>292</v>
      </c>
      <c r="D180" s="116" t="s">
        <v>492</v>
      </c>
      <c r="E180" s="116" t="s">
        <v>491</v>
      </c>
      <c r="F180" s="116" t="s">
        <v>577</v>
      </c>
      <c r="G180" s="489">
        <v>0.3</v>
      </c>
      <c r="H180" s="70" t="s">
        <v>52</v>
      </c>
      <c r="I180" s="70" t="s">
        <v>52</v>
      </c>
    </row>
    <row r="181" spans="1:9" s="48" customFormat="1" ht="21" customHeight="1">
      <c r="A181" s="59"/>
      <c r="B181" s="127" t="s">
        <v>350</v>
      </c>
      <c r="C181" s="109" t="s">
        <v>35</v>
      </c>
      <c r="D181" s="78">
        <v>38</v>
      </c>
      <c r="E181" s="42">
        <v>38</v>
      </c>
      <c r="F181" s="42">
        <v>38</v>
      </c>
      <c r="G181" s="584">
        <v>37.799999999999997</v>
      </c>
      <c r="H181" s="70" t="s">
        <v>52</v>
      </c>
      <c r="I181" s="70" t="s">
        <v>52</v>
      </c>
    </row>
    <row r="182" spans="1:9" s="121" customFormat="1" ht="27" customHeight="1">
      <c r="A182" s="198">
        <v>8</v>
      </c>
      <c r="B182" s="213" t="s">
        <v>226</v>
      </c>
      <c r="C182" s="213"/>
      <c r="D182" s="214"/>
      <c r="E182" s="214"/>
      <c r="F182" s="214"/>
      <c r="G182" s="214"/>
      <c r="H182" s="215"/>
      <c r="I182" s="215"/>
    </row>
    <row r="183" spans="1:9" s="121" customFormat="1" ht="24.95" customHeight="1">
      <c r="A183" s="24"/>
      <c r="B183" s="64" t="s">
        <v>340</v>
      </c>
      <c r="C183" s="24" t="s">
        <v>207</v>
      </c>
      <c r="D183" s="59">
        <v>8</v>
      </c>
      <c r="E183" s="24">
        <v>12</v>
      </c>
      <c r="F183" s="24">
        <v>15</v>
      </c>
      <c r="G183" s="24">
        <v>18</v>
      </c>
      <c r="H183" s="154">
        <f t="shared" ref="H183" si="49">F183/D183*100</f>
        <v>187.5</v>
      </c>
      <c r="I183" s="583">
        <f t="shared" ref="I183" si="50">G183/F183*100</f>
        <v>120</v>
      </c>
    </row>
    <row r="184" spans="1:9" s="121" customFormat="1" ht="24.95" customHeight="1">
      <c r="A184" s="24"/>
      <c r="B184" s="64" t="s">
        <v>341</v>
      </c>
      <c r="C184" s="24" t="s">
        <v>207</v>
      </c>
      <c r="D184" s="59">
        <v>8</v>
      </c>
      <c r="E184" s="24">
        <v>12</v>
      </c>
      <c r="F184" s="24">
        <v>15</v>
      </c>
      <c r="G184" s="24">
        <v>18</v>
      </c>
      <c r="H184" s="154">
        <f t="shared" ref="H184" si="51">F184/D184*100</f>
        <v>187.5</v>
      </c>
      <c r="I184" s="583">
        <f t="shared" ref="I184" si="52">G184/F184*100</f>
        <v>120</v>
      </c>
    </row>
    <row r="185" spans="1:9" s="44" customFormat="1" ht="27.75" customHeight="1">
      <c r="A185" s="196">
        <v>9</v>
      </c>
      <c r="B185" s="212" t="s">
        <v>459</v>
      </c>
      <c r="C185" s="196"/>
      <c r="D185" s="203"/>
      <c r="E185" s="203"/>
      <c r="F185" s="203"/>
      <c r="G185" s="203"/>
      <c r="H185" s="210"/>
      <c r="I185" s="210"/>
    </row>
    <row r="186" spans="1:9" ht="27" customHeight="1">
      <c r="A186" s="589"/>
      <c r="B186" s="166" t="s">
        <v>460</v>
      </c>
      <c r="C186" s="42" t="s">
        <v>524</v>
      </c>
      <c r="D186" s="39">
        <v>31</v>
      </c>
      <c r="E186" s="39" t="s">
        <v>507</v>
      </c>
      <c r="F186" s="39" t="s">
        <v>580</v>
      </c>
      <c r="G186" s="39" t="s">
        <v>580</v>
      </c>
      <c r="H186" s="114" t="s">
        <v>52</v>
      </c>
      <c r="I186" s="114" t="s">
        <v>52</v>
      </c>
    </row>
    <row r="187" spans="1:9" ht="14.25" customHeight="1"/>
  </sheetData>
  <mergeCells count="9">
    <mergeCell ref="A1:I1"/>
    <mergeCell ref="G4:G5"/>
    <mergeCell ref="H4:I4"/>
    <mergeCell ref="A2:I2"/>
    <mergeCell ref="C4:C5"/>
    <mergeCell ref="D4:D5"/>
    <mergeCell ref="E4:F4"/>
    <mergeCell ref="A4:A5"/>
    <mergeCell ref="B4:B5"/>
  </mergeCells>
  <phoneticPr fontId="0" type="noConversion"/>
  <printOptions horizontalCentered="1"/>
  <pageMargins left="0.70866141732283472" right="0.70866141732283472" top="0.55118110236220474" bottom="0.59055118110236227" header="0.35433070866141736" footer="0.31496062992125984"/>
  <pageSetup paperSize="9" scale="83" orientation="landscape" r:id="rId1"/>
  <headerFooter differentFirst="1" alignWithMargins="0">
    <oddFooter>&amp;C&amp;P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D14" sqref="D14"/>
    </sheetView>
  </sheetViews>
  <sheetFormatPr defaultColWidth="9.140625" defaultRowHeight="16.5"/>
  <cols>
    <col min="1" max="1" width="6.28515625" style="11" customWidth="1"/>
    <col min="2" max="2" width="47" style="11" customWidth="1"/>
    <col min="3" max="3" width="13.42578125" style="11" customWidth="1"/>
    <col min="4" max="4" width="10.140625" style="11" customWidth="1"/>
    <col min="5" max="5" width="11.42578125" style="11" customWidth="1"/>
    <col min="6" max="12" width="9.140625" style="11"/>
    <col min="13" max="13" width="11" style="11" customWidth="1"/>
    <col min="14" max="14" width="10.5703125" style="11" customWidth="1"/>
    <col min="15" max="15" width="9.140625" style="11"/>
    <col min="16" max="16" width="11.85546875" style="11" customWidth="1"/>
    <col min="17" max="16384" width="9.140625" style="11"/>
  </cols>
  <sheetData>
    <row r="1" spans="1:16" s="13" customFormat="1">
      <c r="A1" s="620" t="s">
        <v>221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</row>
    <row r="2" spans="1:16" s="13" customFormat="1">
      <c r="A2" s="620" t="s">
        <v>208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</row>
    <row r="3" spans="1:16" ht="23.25" customHeight="1">
      <c r="N3" s="621" t="s">
        <v>222</v>
      </c>
      <c r="O3" s="621"/>
      <c r="P3" s="621"/>
    </row>
    <row r="4" spans="1:16" ht="36.75" customHeight="1">
      <c r="A4" s="622" t="s">
        <v>209</v>
      </c>
      <c r="B4" s="622" t="s">
        <v>214</v>
      </c>
      <c r="C4" s="622" t="s">
        <v>210</v>
      </c>
      <c r="D4" s="622" t="s">
        <v>215</v>
      </c>
      <c r="E4" s="622" t="s">
        <v>211</v>
      </c>
      <c r="F4" s="623" t="s">
        <v>216</v>
      </c>
      <c r="G4" s="623"/>
      <c r="H4" s="623"/>
      <c r="I4" s="623"/>
      <c r="J4" s="623"/>
      <c r="K4" s="623"/>
      <c r="L4" s="623"/>
      <c r="M4" s="623" t="s">
        <v>217</v>
      </c>
      <c r="N4" s="623"/>
      <c r="O4" s="623"/>
      <c r="P4" s="623"/>
    </row>
    <row r="5" spans="1:16">
      <c r="A5" s="622"/>
      <c r="B5" s="622"/>
      <c r="C5" s="622"/>
      <c r="D5" s="622"/>
      <c r="E5" s="622"/>
      <c r="F5" s="622" t="s">
        <v>218</v>
      </c>
      <c r="G5" s="622" t="s">
        <v>219</v>
      </c>
      <c r="H5" s="622"/>
      <c r="I5" s="622" t="s">
        <v>213</v>
      </c>
      <c r="J5" s="622"/>
      <c r="K5" s="622" t="s">
        <v>220</v>
      </c>
      <c r="L5" s="622"/>
      <c r="M5" s="622" t="s">
        <v>218</v>
      </c>
      <c r="N5" s="622" t="s">
        <v>32</v>
      </c>
      <c r="O5" s="622"/>
      <c r="P5" s="622"/>
    </row>
    <row r="6" spans="1:16" ht="75" customHeight="1">
      <c r="A6" s="622"/>
      <c r="B6" s="622"/>
      <c r="C6" s="622"/>
      <c r="D6" s="622"/>
      <c r="E6" s="622"/>
      <c r="F6" s="622"/>
      <c r="G6" s="12" t="s">
        <v>14</v>
      </c>
      <c r="H6" s="12" t="s">
        <v>13</v>
      </c>
      <c r="I6" s="12" t="s">
        <v>14</v>
      </c>
      <c r="J6" s="12" t="s">
        <v>13</v>
      </c>
      <c r="K6" s="12" t="s">
        <v>14</v>
      </c>
      <c r="L6" s="12" t="s">
        <v>13</v>
      </c>
      <c r="M6" s="622"/>
      <c r="N6" s="12" t="s">
        <v>219</v>
      </c>
      <c r="O6" s="12" t="s">
        <v>213</v>
      </c>
      <c r="P6" s="12" t="s">
        <v>220</v>
      </c>
    </row>
    <row r="7" spans="1:16" s="23" customFormat="1" ht="24" customHeight="1">
      <c r="A7" s="17"/>
      <c r="B7" s="17" t="s">
        <v>212</v>
      </c>
      <c r="C7" s="17"/>
      <c r="D7" s="17"/>
      <c r="E7" s="128">
        <f>E8+E9</f>
        <v>62322</v>
      </c>
      <c r="F7" s="128">
        <f t="shared" ref="F7:P7" si="0">F8+F9</f>
        <v>8000</v>
      </c>
      <c r="G7" s="128">
        <f t="shared" si="0"/>
        <v>0</v>
      </c>
      <c r="H7" s="128">
        <f t="shared" si="0"/>
        <v>500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3000</v>
      </c>
      <c r="M7" s="128">
        <f t="shared" si="0"/>
        <v>39032</v>
      </c>
      <c r="N7" s="128">
        <f t="shared" si="0"/>
        <v>27710</v>
      </c>
      <c r="O7" s="128">
        <f t="shared" si="0"/>
        <v>0</v>
      </c>
      <c r="P7" s="128">
        <f t="shared" si="0"/>
        <v>11322</v>
      </c>
    </row>
    <row r="8" spans="1:16" s="44" customFormat="1" ht="43.5" customHeight="1">
      <c r="A8" s="17" t="s">
        <v>38</v>
      </c>
      <c r="B8" s="20" t="s">
        <v>286</v>
      </c>
      <c r="C8" s="17" t="s">
        <v>285</v>
      </c>
      <c r="D8" s="17" t="s">
        <v>284</v>
      </c>
      <c r="E8" s="19">
        <v>48000</v>
      </c>
      <c r="F8" s="19">
        <v>5000</v>
      </c>
      <c r="G8" s="19">
        <v>0</v>
      </c>
      <c r="H8" s="19">
        <v>500</v>
      </c>
      <c r="I8" s="19">
        <v>0</v>
      </c>
      <c r="J8" s="19">
        <v>0</v>
      </c>
      <c r="K8" s="19">
        <v>0</v>
      </c>
      <c r="L8" s="19">
        <v>0</v>
      </c>
      <c r="M8" s="19">
        <f>N8</f>
        <v>25000</v>
      </c>
      <c r="N8" s="19">
        <v>25000</v>
      </c>
      <c r="O8" s="19"/>
      <c r="P8" s="19"/>
    </row>
    <row r="9" spans="1:16" s="23" customFormat="1" ht="18.75">
      <c r="A9" s="22" t="s">
        <v>53</v>
      </c>
      <c r="B9" s="129" t="s">
        <v>293</v>
      </c>
      <c r="C9" s="43"/>
      <c r="D9" s="43"/>
      <c r="E9" s="43">
        <v>14322</v>
      </c>
      <c r="F9" s="43">
        <v>3000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3000</v>
      </c>
      <c r="M9" s="43">
        <v>14032</v>
      </c>
      <c r="N9" s="43">
        <v>2710</v>
      </c>
      <c r="O9" s="43">
        <v>0</v>
      </c>
      <c r="P9" s="43">
        <v>11322</v>
      </c>
    </row>
    <row r="10" spans="1:16" s="15" customFormat="1" ht="24.95" customHeight="1">
      <c r="A10" s="18">
        <v>1</v>
      </c>
      <c r="B10" s="21" t="s">
        <v>298</v>
      </c>
      <c r="C10" s="130"/>
      <c r="D10" s="130"/>
      <c r="E10" s="130">
        <v>4409</v>
      </c>
      <c r="F10" s="130">
        <v>900</v>
      </c>
      <c r="G10" s="130"/>
      <c r="H10" s="130"/>
      <c r="I10" s="130"/>
      <c r="J10" s="130"/>
      <c r="K10" s="130"/>
      <c r="L10" s="130">
        <v>900</v>
      </c>
      <c r="M10" s="130">
        <v>3509</v>
      </c>
      <c r="N10" s="130"/>
      <c r="O10" s="130"/>
      <c r="P10" s="130">
        <v>3509</v>
      </c>
    </row>
    <row r="11" spans="1:16" s="15" customFormat="1" ht="24.95" customHeight="1">
      <c r="A11" s="18">
        <v>2</v>
      </c>
      <c r="B11" s="21" t="s">
        <v>299</v>
      </c>
      <c r="C11" s="130"/>
      <c r="D11" s="130"/>
      <c r="E11" s="130">
        <v>6479</v>
      </c>
      <c r="F11" s="130">
        <v>1800</v>
      </c>
      <c r="G11" s="130"/>
      <c r="H11" s="130"/>
      <c r="I11" s="130"/>
      <c r="J11" s="130"/>
      <c r="K11" s="130"/>
      <c r="L11" s="130">
        <v>1800</v>
      </c>
      <c r="M11" s="130">
        <v>4679</v>
      </c>
      <c r="N11" s="130"/>
      <c r="O11" s="130"/>
      <c r="P11" s="130">
        <v>4679</v>
      </c>
    </row>
    <row r="12" spans="1:16" s="15" customFormat="1" ht="37.5">
      <c r="A12" s="18">
        <v>3</v>
      </c>
      <c r="B12" s="21" t="s">
        <v>294</v>
      </c>
      <c r="C12" s="130"/>
      <c r="D12" s="130"/>
      <c r="E12" s="130">
        <v>764</v>
      </c>
      <c r="F12" s="130">
        <v>100</v>
      </c>
      <c r="G12" s="130"/>
      <c r="H12" s="130"/>
      <c r="I12" s="130"/>
      <c r="J12" s="130"/>
      <c r="K12" s="130"/>
      <c r="L12" s="130">
        <v>100</v>
      </c>
      <c r="M12" s="130">
        <v>664</v>
      </c>
      <c r="N12" s="130"/>
      <c r="O12" s="130"/>
      <c r="P12" s="130">
        <v>664</v>
      </c>
    </row>
    <row r="13" spans="1:16" s="15" customFormat="1" ht="37.5">
      <c r="A13" s="18">
        <v>4</v>
      </c>
      <c r="B13" s="21" t="s">
        <v>295</v>
      </c>
      <c r="C13" s="130"/>
      <c r="D13" s="130"/>
      <c r="E13" s="130">
        <v>1562</v>
      </c>
      <c r="F13" s="130">
        <v>100</v>
      </c>
      <c r="G13" s="130"/>
      <c r="H13" s="130"/>
      <c r="I13" s="130"/>
      <c r="J13" s="130"/>
      <c r="K13" s="130"/>
      <c r="L13" s="130">
        <v>100</v>
      </c>
      <c r="M13" s="130">
        <v>1462</v>
      </c>
      <c r="N13" s="130"/>
      <c r="O13" s="130"/>
      <c r="P13" s="130">
        <v>1462</v>
      </c>
    </row>
    <row r="14" spans="1:16" s="15" customFormat="1" ht="24.95" customHeight="1">
      <c r="A14" s="18">
        <v>5</v>
      </c>
      <c r="B14" s="21" t="s">
        <v>296</v>
      </c>
      <c r="C14" s="130"/>
      <c r="D14" s="130"/>
      <c r="E14" s="130">
        <v>1108</v>
      </c>
      <c r="F14" s="130">
        <v>100</v>
      </c>
      <c r="G14" s="130"/>
      <c r="H14" s="130"/>
      <c r="I14" s="130"/>
      <c r="J14" s="130"/>
      <c r="K14" s="130"/>
      <c r="L14" s="130">
        <v>100</v>
      </c>
      <c r="M14" s="130">
        <v>1008</v>
      </c>
      <c r="N14" s="130"/>
      <c r="O14" s="130"/>
      <c r="P14" s="130">
        <v>1008</v>
      </c>
    </row>
    <row r="15" spans="1:16" s="23" customFormat="1" ht="93.75">
      <c r="A15" s="42">
        <v>6</v>
      </c>
      <c r="B15" s="131" t="s">
        <v>297</v>
      </c>
      <c r="C15" s="132"/>
      <c r="D15" s="132"/>
      <c r="E15" s="132"/>
      <c r="F15" s="132">
        <v>0</v>
      </c>
      <c r="G15" s="132"/>
      <c r="H15" s="132"/>
      <c r="I15" s="132"/>
      <c r="J15" s="132"/>
      <c r="K15" s="132"/>
      <c r="L15" s="132"/>
      <c r="M15" s="132">
        <v>2710</v>
      </c>
      <c r="N15" s="132">
        <v>2710</v>
      </c>
      <c r="O15" s="132"/>
      <c r="P15" s="132"/>
    </row>
  </sheetData>
  <mergeCells count="16">
    <mergeCell ref="A2:P2"/>
    <mergeCell ref="A1:P1"/>
    <mergeCell ref="N3:P3"/>
    <mergeCell ref="E4:E6"/>
    <mergeCell ref="F4:L4"/>
    <mergeCell ref="M4:P4"/>
    <mergeCell ref="F5:F6"/>
    <mergeCell ref="G5:H5"/>
    <mergeCell ref="I5:J5"/>
    <mergeCell ref="K5:L5"/>
    <mergeCell ref="M5:M6"/>
    <mergeCell ref="N5:P5"/>
    <mergeCell ref="A4:A6"/>
    <mergeCell ref="B4:B6"/>
    <mergeCell ref="C4:C6"/>
    <mergeCell ref="D4:D6"/>
  </mergeCells>
  <phoneticPr fontId="62" type="noConversion"/>
  <printOptions horizontalCentered="1"/>
  <pageMargins left="0.42" right="0.42" top="0.87" bottom="1" header="0.5" footer="0.5"/>
  <pageSetup paperSize="9" scale="7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Formulas="1" workbookViewId="0">
      <selection activeCell="C1" sqref="C1"/>
    </sheetView>
  </sheetViews>
  <sheetFormatPr defaultColWidth="9.140625" defaultRowHeight="12.75"/>
  <cols>
    <col min="1" max="1" width="29.85546875" style="2" customWidth="1"/>
    <col min="2" max="2" width="1.28515625" style="2" customWidth="1"/>
    <col min="3" max="3" width="32.140625" style="2" customWidth="1"/>
    <col min="4" max="16384" width="9.140625" style="2"/>
  </cols>
  <sheetData>
    <row r="1" spans="1:3">
      <c r="A1" t="s">
        <v>51</v>
      </c>
    </row>
    <row r="2" spans="1:3" ht="13.5" thickBot="1">
      <c r="A2" s="1" t="s">
        <v>39</v>
      </c>
    </row>
    <row r="3" spans="1:3" ht="13.5" thickBot="1">
      <c r="A3" s="3" t="s">
        <v>40</v>
      </c>
      <c r="C3" s="4" t="s">
        <v>41</v>
      </c>
    </row>
    <row r="4" spans="1:3">
      <c r="A4" s="3">
        <v>3</v>
      </c>
    </row>
    <row r="6" spans="1:3" ht="13.5" thickBot="1"/>
    <row r="7" spans="1:3">
      <c r="A7" s="5" t="s">
        <v>42</v>
      </c>
    </row>
    <row r="8" spans="1:3">
      <c r="A8" s="6" t="s">
        <v>43</v>
      </c>
    </row>
    <row r="9" spans="1:3">
      <c r="A9" s="7" t="s">
        <v>44</v>
      </c>
    </row>
    <row r="10" spans="1:3">
      <c r="A10" s="6" t="s">
        <v>45</v>
      </c>
    </row>
    <row r="11" spans="1:3" ht="13.5" thickBot="1">
      <c r="A11" s="8" t="s">
        <v>46</v>
      </c>
    </row>
    <row r="13" spans="1:3" ht="13.5" thickBot="1"/>
    <row r="14" spans="1:3" ht="13.5" thickBot="1">
      <c r="A14" s="4" t="s">
        <v>47</v>
      </c>
    </row>
    <row r="16" spans="1:3" ht="13.5" thickBot="1"/>
    <row r="17" spans="1:3" ht="13.5" thickBot="1">
      <c r="C17" s="4" t="s">
        <v>48</v>
      </c>
    </row>
    <row r="20" spans="1:3">
      <c r="A20" s="9" t="s">
        <v>49</v>
      </c>
    </row>
    <row r="26" spans="1:3" ht="13.5" thickBot="1">
      <c r="C26" s="10" t="s">
        <v>50</v>
      </c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Bìa</vt:lpstr>
      <vt:lpstr>Bieu 1</vt:lpstr>
      <vt:lpstr>Bieu 2</vt:lpstr>
      <vt:lpstr>Bieu 3</vt:lpstr>
      <vt:lpstr>Bieu 4</vt:lpstr>
      <vt:lpstr>Bieu 5</vt:lpstr>
      <vt:lpstr>Bieu 6</vt:lpstr>
      <vt:lpstr>Quy hoach</vt:lpstr>
      <vt:lpstr>'Bieu 4'!Print_Area</vt:lpstr>
      <vt:lpstr>'Bieu 1'!Print_Titles</vt:lpstr>
      <vt:lpstr>'Bieu 2'!Print_Titles</vt:lpstr>
      <vt:lpstr>'Bieu 3'!Print_Titles</vt:lpstr>
      <vt:lpstr>'Bieu 4'!Print_Titles</vt:lpstr>
      <vt:lpstr>'Bieu 5'!Print_Titles</vt:lpstr>
      <vt:lpstr>'Bieu 6'!Print_Titles</vt:lpstr>
    </vt:vector>
  </TitlesOfParts>
  <Company>SKHBG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Phong-TH</dc:creator>
  <cp:lastModifiedBy>Admin</cp:lastModifiedBy>
  <cp:lastPrinted>2022-08-01T01:15:12Z</cp:lastPrinted>
  <dcterms:created xsi:type="dcterms:W3CDTF">2003-01-08T07:40:36Z</dcterms:created>
  <dcterms:modified xsi:type="dcterms:W3CDTF">2022-08-04T03:46:39Z</dcterms:modified>
  <cp:contentStatus/>
</cp:coreProperties>
</file>