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3395" windowHeight="4170"/>
  </bookViews>
  <sheets>
    <sheet name="Biểu 1" sheetId="1" r:id="rId1"/>
    <sheet name="Biểu 2" sheetId="8" r:id="rId2"/>
    <sheet name="Biểu3" sheetId="13" r:id="rId3"/>
  </sheets>
  <definedNames>
    <definedName name="_xlnm.Print_Area" localSheetId="0">'Biểu 1'!$A$1:$U$116</definedName>
    <definedName name="_xlnm.Print_Area" localSheetId="1">'Biểu 2'!$A$1:$P$42</definedName>
    <definedName name="_xlnm.Print_Area" localSheetId="2">Biểu3!$A$1:$N$32</definedName>
    <definedName name="_xlnm.Print_Titles" localSheetId="0">'Biểu 1'!$4:$4</definedName>
    <definedName name="_xlnm.Print_Titles" localSheetId="1">'Biểu 2'!$2:$2</definedName>
  </definedNames>
  <calcPr calcId="144525"/>
</workbook>
</file>

<file path=xl/calcChain.xml><?xml version="1.0" encoding="utf-8"?>
<calcChain xmlns="http://schemas.openxmlformats.org/spreadsheetml/2006/main">
  <c r="C24" i="8" l="1"/>
  <c r="B66" i="8" l="1"/>
  <c r="F5" i="13" l="1"/>
  <c r="G5" i="13"/>
  <c r="H5" i="13"/>
  <c r="I5" i="13"/>
  <c r="J5" i="13"/>
  <c r="K5" i="13"/>
  <c r="L5" i="13"/>
  <c r="M5" i="13"/>
  <c r="E5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8" i="13"/>
  <c r="C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9" i="13"/>
  <c r="D12" i="13"/>
  <c r="D11" i="13"/>
  <c r="D10" i="13"/>
  <c r="D8" i="13"/>
  <c r="D7" i="13"/>
  <c r="C35" i="8"/>
  <c r="G20" i="8"/>
  <c r="G17" i="8"/>
  <c r="G16" i="8"/>
  <c r="G15" i="8"/>
  <c r="E15" i="8" s="1"/>
  <c r="G10" i="8"/>
  <c r="E34" i="8"/>
  <c r="G34" i="8" s="1"/>
  <c r="F34" i="8" s="1"/>
  <c r="E33" i="8"/>
  <c r="G33" i="8" s="1"/>
  <c r="F33" i="8" s="1"/>
  <c r="E32" i="8"/>
  <c r="G32" i="8" s="1"/>
  <c r="F32" i="8" s="1"/>
  <c r="E31" i="8"/>
  <c r="G31" i="8" s="1"/>
  <c r="E30" i="8"/>
  <c r="G30" i="8" s="1"/>
  <c r="F30" i="8" s="1"/>
  <c r="E29" i="8"/>
  <c r="G29" i="8" s="1"/>
  <c r="F29" i="8" s="1"/>
  <c r="E27" i="8"/>
  <c r="G27" i="8" s="1"/>
  <c r="F27" i="8" s="1"/>
  <c r="E28" i="8"/>
  <c r="G28" i="8" s="1"/>
  <c r="F28" i="8" s="1"/>
  <c r="E26" i="8"/>
  <c r="G26" i="8" s="1"/>
  <c r="F26" i="8" s="1"/>
  <c r="E35" i="8"/>
  <c r="G35" i="8" s="1"/>
  <c r="F35" i="8" s="1"/>
  <c r="G24" i="8"/>
  <c r="F24" i="8" s="1"/>
  <c r="G23" i="8"/>
  <c r="F23" i="8" s="1"/>
  <c r="G21" i="8"/>
  <c r="C21" i="8" s="1"/>
  <c r="G18" i="8"/>
  <c r="C18" i="8" s="1"/>
  <c r="F18" i="8"/>
  <c r="F21" i="8"/>
  <c r="E6" i="8"/>
  <c r="F6" i="8" s="1"/>
  <c r="E7" i="8"/>
  <c r="F7" i="8" s="1"/>
  <c r="E11" i="8"/>
  <c r="F11" i="8" s="1"/>
  <c r="E12" i="8"/>
  <c r="F12" i="8" s="1"/>
  <c r="E13" i="8"/>
  <c r="F13" i="8" s="1"/>
  <c r="E16" i="8"/>
  <c r="F16" i="8" s="1"/>
  <c r="E17" i="8"/>
  <c r="F17" i="8" s="1"/>
  <c r="E22" i="8"/>
  <c r="F22" i="8" s="1"/>
  <c r="E5" i="8"/>
  <c r="F5" i="8" s="1"/>
  <c r="U16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85" i="1"/>
  <c r="J9" i="1"/>
  <c r="J10" i="1"/>
  <c r="J11" i="1"/>
  <c r="J12" i="1"/>
  <c r="J13" i="1"/>
  <c r="J14" i="1"/>
  <c r="J15" i="1"/>
  <c r="J16" i="1"/>
  <c r="J8" i="1"/>
  <c r="I9" i="1"/>
  <c r="I10" i="1"/>
  <c r="I11" i="1"/>
  <c r="I12" i="1"/>
  <c r="I13" i="1"/>
  <c r="I14" i="1"/>
  <c r="I15" i="1"/>
  <c r="I16" i="1"/>
  <c r="I8" i="1"/>
  <c r="M59" i="1"/>
  <c r="M40" i="1"/>
  <c r="M29" i="1"/>
  <c r="M28" i="1"/>
  <c r="M27" i="1"/>
  <c r="M25" i="1"/>
  <c r="R7" i="1"/>
  <c r="S7" i="1"/>
  <c r="T7" i="1"/>
  <c r="U7" i="1"/>
  <c r="Q7" i="1"/>
  <c r="O7" i="1"/>
  <c r="N7" i="1"/>
  <c r="N21" i="1"/>
  <c r="O21" i="1" s="1"/>
  <c r="Q21" i="1" s="1"/>
  <c r="M7" i="1"/>
  <c r="D7" i="1"/>
  <c r="F31" i="8" l="1"/>
  <c r="F25" i="8" s="1"/>
  <c r="C31" i="8"/>
  <c r="J31" i="8"/>
  <c r="K31" i="8" s="1"/>
  <c r="N31" i="8" s="1"/>
  <c r="D27" i="13"/>
  <c r="C23" i="8"/>
  <c r="E10" i="8"/>
  <c r="E25" i="8"/>
  <c r="E20" i="8"/>
  <c r="F20" i="8" s="1"/>
  <c r="F15" i="8"/>
  <c r="S21" i="1"/>
  <c r="T21" i="1" s="1"/>
  <c r="R21" i="1"/>
  <c r="U21" i="1" s="1"/>
  <c r="M31" i="8" l="1"/>
  <c r="L31" i="8"/>
  <c r="O31" i="8" s="1"/>
  <c r="F10" i="8"/>
  <c r="D19" i="8"/>
  <c r="D21" i="8"/>
  <c r="P17" i="8" l="1"/>
  <c r="G14" i="8"/>
  <c r="G8" i="8"/>
  <c r="P16" i="8"/>
  <c r="P20" i="8"/>
  <c r="G19" i="8"/>
  <c r="P15" i="8"/>
  <c r="P10" i="8"/>
  <c r="E8" i="8" l="1"/>
  <c r="E19" i="8"/>
  <c r="F19" i="8" s="1"/>
  <c r="P14" i="8"/>
  <c r="E14" i="8"/>
  <c r="F14" i="8" s="1"/>
  <c r="J19" i="8"/>
  <c r="K19" i="8" s="1"/>
  <c r="N19" i="8" s="1"/>
  <c r="O19" i="8" s="1"/>
  <c r="L19" i="8"/>
  <c r="M19" i="8"/>
  <c r="F8" i="8" l="1"/>
  <c r="E27" i="13" l="1"/>
  <c r="G27" i="13"/>
  <c r="H27" i="13"/>
  <c r="I27" i="13"/>
  <c r="J27" i="13"/>
  <c r="K27" i="13"/>
  <c r="L27" i="13"/>
  <c r="M27" i="13"/>
  <c r="F27" i="13"/>
  <c r="N14" i="13" l="1"/>
  <c r="N13" i="13"/>
  <c r="N12" i="13"/>
  <c r="H4" i="8" l="1"/>
  <c r="I4" i="8"/>
  <c r="H25" i="8"/>
  <c r="I25" i="8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62" i="1"/>
  <c r="N93" i="1"/>
  <c r="Q93" i="1" s="1"/>
  <c r="N104" i="1"/>
  <c r="Q104" i="1" s="1"/>
  <c r="N98" i="1"/>
  <c r="Q98" i="1" s="1"/>
  <c r="N92" i="1"/>
  <c r="Q92" i="1" s="1"/>
  <c r="O41" i="1"/>
  <c r="Q41" i="1" s="1"/>
  <c r="N39" i="1"/>
  <c r="O39" i="1" s="1"/>
  <c r="Q39" i="1" s="1"/>
  <c r="N38" i="1"/>
  <c r="O38" i="1" s="1"/>
  <c r="Q38" i="1" s="1"/>
  <c r="S93" i="1" l="1"/>
  <c r="T93" i="1" s="1"/>
  <c r="R93" i="1"/>
  <c r="S104" i="1"/>
  <c r="T104" i="1" s="1"/>
  <c r="R104" i="1"/>
  <c r="R98" i="1"/>
  <c r="S98" i="1"/>
  <c r="T98" i="1" s="1"/>
  <c r="S92" i="1"/>
  <c r="T92" i="1" s="1"/>
  <c r="R92" i="1"/>
  <c r="S41" i="1"/>
  <c r="T41" i="1" s="1"/>
  <c r="R41" i="1"/>
  <c r="S39" i="1"/>
  <c r="T39" i="1" s="1"/>
  <c r="R39" i="1"/>
  <c r="S38" i="1"/>
  <c r="T38" i="1" s="1"/>
  <c r="R38" i="1"/>
  <c r="U104" i="1" l="1"/>
  <c r="U93" i="1"/>
  <c r="U92" i="1"/>
  <c r="U98" i="1"/>
  <c r="U41" i="1"/>
  <c r="U39" i="1"/>
  <c r="U38" i="1"/>
  <c r="O79" i="1" l="1"/>
  <c r="Q79" i="1" s="1"/>
  <c r="O78" i="1"/>
  <c r="Q78" i="1" s="1"/>
  <c r="S79" i="1" l="1"/>
  <c r="T79" i="1" s="1"/>
  <c r="R79" i="1"/>
  <c r="S78" i="1"/>
  <c r="T78" i="1" s="1"/>
  <c r="R78" i="1"/>
  <c r="U78" i="1" l="1"/>
  <c r="U79" i="1"/>
  <c r="O65" i="1" l="1"/>
  <c r="Q65" i="1" s="1"/>
  <c r="N12" i="1"/>
  <c r="O12" i="1" s="1"/>
  <c r="Q12" i="1" s="1"/>
  <c r="O83" i="1"/>
  <c r="Q83" i="1" s="1"/>
  <c r="N11" i="1"/>
  <c r="S65" i="1" l="1"/>
  <c r="T65" i="1" s="1"/>
  <c r="R65" i="1"/>
  <c r="S12" i="1"/>
  <c r="T12" i="1" s="1"/>
  <c r="R12" i="1"/>
  <c r="S83" i="1"/>
  <c r="T83" i="1" s="1"/>
  <c r="R83" i="1"/>
  <c r="O11" i="1"/>
  <c r="Q11" i="1" s="1"/>
  <c r="O8" i="1"/>
  <c r="N10" i="1"/>
  <c r="O10" i="1" s="1"/>
  <c r="Q10" i="1" s="1"/>
  <c r="N13" i="1"/>
  <c r="O13" i="1" s="1"/>
  <c r="Q13" i="1" s="1"/>
  <c r="N14" i="1"/>
  <c r="O14" i="1" s="1"/>
  <c r="Q14" i="1" s="1"/>
  <c r="N15" i="1"/>
  <c r="O15" i="1" s="1"/>
  <c r="Q15" i="1" s="1"/>
  <c r="N16" i="1"/>
  <c r="O16" i="1" s="1"/>
  <c r="Q16" i="1" s="1"/>
  <c r="P18" i="8" s="1"/>
  <c r="N17" i="1"/>
  <c r="O17" i="1" s="1"/>
  <c r="Q17" i="1" s="1"/>
  <c r="N18" i="1"/>
  <c r="N19" i="1"/>
  <c r="O19" i="1" s="1"/>
  <c r="Q19" i="1" s="1"/>
  <c r="P23" i="8" s="1"/>
  <c r="N20" i="1"/>
  <c r="O20" i="1" s="1"/>
  <c r="Q20" i="1" s="1"/>
  <c r="P24" i="8" s="1"/>
  <c r="D24" i="8" s="1"/>
  <c r="N9" i="1"/>
  <c r="O9" i="1" s="1"/>
  <c r="Q9" i="1" s="1"/>
  <c r="N25" i="13" l="1"/>
  <c r="D23" i="8"/>
  <c r="N20" i="13"/>
  <c r="D18" i="8"/>
  <c r="U65" i="1"/>
  <c r="N26" i="13"/>
  <c r="U83" i="1"/>
  <c r="U12" i="1"/>
  <c r="O18" i="1"/>
  <c r="Q18" i="1" s="1"/>
  <c r="P21" i="8" s="1"/>
  <c r="N23" i="13" s="1"/>
  <c r="O62" i="1"/>
  <c r="Q62" i="1" s="1"/>
  <c r="S20" i="1"/>
  <c r="T20" i="1" s="1"/>
  <c r="R20" i="1"/>
  <c r="P10" i="1"/>
  <c r="P4" i="8" l="1"/>
  <c r="J24" i="8"/>
  <c r="K24" i="8" s="1"/>
  <c r="N24" i="8" s="1"/>
  <c r="U20" i="1"/>
  <c r="R62" i="1"/>
  <c r="S62" i="1"/>
  <c r="T62" i="1" s="1"/>
  <c r="S10" i="1"/>
  <c r="T10" i="1" s="1"/>
  <c r="R10" i="1"/>
  <c r="M24" i="8" l="1"/>
  <c r="L24" i="8"/>
  <c r="U62" i="1"/>
  <c r="U10" i="1"/>
  <c r="O24" i="8" l="1"/>
  <c r="N15" i="13"/>
  <c r="J12" i="8" l="1"/>
  <c r="K12" i="8" s="1"/>
  <c r="N12" i="8" s="1"/>
  <c r="J11" i="8"/>
  <c r="K11" i="8" s="1"/>
  <c r="N11" i="8" s="1"/>
  <c r="J13" i="8"/>
  <c r="K13" i="8" s="1"/>
  <c r="N13" i="8" s="1"/>
  <c r="M13" i="8"/>
  <c r="L13" i="8"/>
  <c r="M12" i="8"/>
  <c r="L12" i="8"/>
  <c r="M11" i="8"/>
  <c r="L11" i="8"/>
  <c r="O13" i="8" l="1"/>
  <c r="O12" i="8"/>
  <c r="O11" i="8"/>
  <c r="E7" i="1" l="1"/>
  <c r="N6" i="8" l="1"/>
  <c r="N5" i="8"/>
  <c r="M22" i="8"/>
  <c r="M20" i="8"/>
  <c r="M17" i="8"/>
  <c r="M16" i="8"/>
  <c r="M15" i="8"/>
  <c r="M10" i="8"/>
  <c r="M14" i="8"/>
  <c r="M9" i="8"/>
  <c r="M8" i="8"/>
  <c r="M7" i="8"/>
  <c r="M6" i="8"/>
  <c r="M5" i="8"/>
  <c r="J23" i="8" l="1"/>
  <c r="J21" i="8"/>
  <c r="J10" i="8"/>
  <c r="J17" i="8"/>
  <c r="J14" i="8"/>
  <c r="J16" i="8"/>
  <c r="J15" i="8"/>
  <c r="G9" i="8"/>
  <c r="J22" i="8"/>
  <c r="J20" i="8"/>
  <c r="J8" i="8"/>
  <c r="E9" i="8" l="1"/>
  <c r="F9" i="8" s="1"/>
  <c r="F4" i="8" s="1"/>
  <c r="F3" i="8" s="1"/>
  <c r="G4" i="8"/>
  <c r="J9" i="8"/>
  <c r="E4" i="8" l="1"/>
  <c r="E3" i="8" s="1"/>
  <c r="M21" i="8"/>
  <c r="M23" i="8"/>
  <c r="N22" i="13"/>
  <c r="P15" i="1"/>
  <c r="M84" i="1"/>
  <c r="P61" i="1"/>
  <c r="M61" i="1"/>
  <c r="S17" i="1" l="1"/>
  <c r="T17" i="1" s="1"/>
  <c r="R17" i="1"/>
  <c r="U17" i="1" l="1"/>
  <c r="R15" i="1"/>
  <c r="S15" i="1"/>
  <c r="T15" i="1" s="1"/>
  <c r="U15" i="1" l="1"/>
  <c r="O63" i="1" l="1"/>
  <c r="O64" i="1"/>
  <c r="O66" i="1"/>
  <c r="O67" i="1"/>
  <c r="O68" i="1"/>
  <c r="O69" i="1"/>
  <c r="O71" i="1"/>
  <c r="O72" i="1"/>
  <c r="O73" i="1"/>
  <c r="O74" i="1"/>
  <c r="O70" i="1"/>
  <c r="O75" i="1"/>
  <c r="O77" i="1"/>
  <c r="O76" i="1"/>
  <c r="O81" i="1"/>
  <c r="O82" i="1"/>
  <c r="N110" i="1" l="1"/>
  <c r="Q110" i="1" s="1"/>
  <c r="S110" i="1" s="1"/>
  <c r="T110" i="1" s="1"/>
  <c r="N109" i="1"/>
  <c r="Q109" i="1" s="1"/>
  <c r="R109" i="1" s="1"/>
  <c r="N108" i="1"/>
  <c r="Q108" i="1" s="1"/>
  <c r="S108" i="1" s="1"/>
  <c r="T108" i="1" s="1"/>
  <c r="N107" i="1"/>
  <c r="Q107" i="1" s="1"/>
  <c r="R107" i="1" s="1"/>
  <c r="N106" i="1"/>
  <c r="Q106" i="1" s="1"/>
  <c r="S106" i="1" s="1"/>
  <c r="T106" i="1" s="1"/>
  <c r="N105" i="1"/>
  <c r="Q105" i="1" s="1"/>
  <c r="R105" i="1" s="1"/>
  <c r="N103" i="1"/>
  <c r="Q103" i="1" s="1"/>
  <c r="S103" i="1" s="1"/>
  <c r="T103" i="1" s="1"/>
  <c r="N102" i="1"/>
  <c r="Q102" i="1" s="1"/>
  <c r="R102" i="1" s="1"/>
  <c r="N101" i="1"/>
  <c r="Q101" i="1" s="1"/>
  <c r="S101" i="1" s="1"/>
  <c r="T101" i="1" s="1"/>
  <c r="N100" i="1"/>
  <c r="Q100" i="1" s="1"/>
  <c r="R100" i="1" s="1"/>
  <c r="N99" i="1"/>
  <c r="Q99" i="1" s="1"/>
  <c r="S99" i="1" s="1"/>
  <c r="T99" i="1" s="1"/>
  <c r="N97" i="1"/>
  <c r="Q97" i="1" s="1"/>
  <c r="R97" i="1" s="1"/>
  <c r="N96" i="1"/>
  <c r="Q96" i="1" s="1"/>
  <c r="S96" i="1" s="1"/>
  <c r="T96" i="1" s="1"/>
  <c r="N95" i="1"/>
  <c r="Q95" i="1" s="1"/>
  <c r="R95" i="1" s="1"/>
  <c r="N94" i="1"/>
  <c r="Q94" i="1" s="1"/>
  <c r="S94" i="1" s="1"/>
  <c r="T94" i="1" s="1"/>
  <c r="N91" i="1"/>
  <c r="Q91" i="1" s="1"/>
  <c r="R91" i="1" s="1"/>
  <c r="N90" i="1"/>
  <c r="Q90" i="1" s="1"/>
  <c r="S90" i="1" s="1"/>
  <c r="T90" i="1" s="1"/>
  <c r="N89" i="1"/>
  <c r="Q89" i="1" s="1"/>
  <c r="R89" i="1" s="1"/>
  <c r="N88" i="1"/>
  <c r="Q88" i="1" s="1"/>
  <c r="S88" i="1" s="1"/>
  <c r="T88" i="1" s="1"/>
  <c r="N87" i="1"/>
  <c r="Q87" i="1" s="1"/>
  <c r="R87" i="1" s="1"/>
  <c r="N86" i="1"/>
  <c r="N85" i="1"/>
  <c r="P84" i="1"/>
  <c r="Q82" i="1"/>
  <c r="S82" i="1" s="1"/>
  <c r="T82" i="1" s="1"/>
  <c r="Q81" i="1"/>
  <c r="R81" i="1" s="1"/>
  <c r="Q76" i="1"/>
  <c r="Q77" i="1"/>
  <c r="Q75" i="1"/>
  <c r="Q70" i="1"/>
  <c r="Q74" i="1"/>
  <c r="Q73" i="1"/>
  <c r="Q72" i="1"/>
  <c r="Q71" i="1"/>
  <c r="Q69" i="1"/>
  <c r="Q68" i="1"/>
  <c r="Q67" i="1"/>
  <c r="Q66" i="1"/>
  <c r="Q64" i="1"/>
  <c r="P60" i="1"/>
  <c r="M60" i="1"/>
  <c r="D59" i="1"/>
  <c r="N59" i="1" s="1"/>
  <c r="O59" i="1" s="1"/>
  <c r="Q59" i="1" s="1"/>
  <c r="N58" i="1"/>
  <c r="O58" i="1" s="1"/>
  <c r="Q58" i="1" s="1"/>
  <c r="N57" i="1"/>
  <c r="O57" i="1" s="1"/>
  <c r="Q57" i="1" s="1"/>
  <c r="N56" i="1"/>
  <c r="O56" i="1" s="1"/>
  <c r="Q56" i="1" s="1"/>
  <c r="N55" i="1"/>
  <c r="O55" i="1" s="1"/>
  <c r="Q55" i="1" s="1"/>
  <c r="N54" i="1"/>
  <c r="O54" i="1" s="1"/>
  <c r="Q54" i="1" s="1"/>
  <c r="N53" i="1"/>
  <c r="O53" i="1" s="1"/>
  <c r="Q53" i="1" s="1"/>
  <c r="N52" i="1"/>
  <c r="O52" i="1" s="1"/>
  <c r="Q52" i="1" s="1"/>
  <c r="N51" i="1"/>
  <c r="O51" i="1" s="1"/>
  <c r="Q51" i="1" s="1"/>
  <c r="N50" i="1"/>
  <c r="O50" i="1" s="1"/>
  <c r="Q50" i="1" s="1"/>
  <c r="N49" i="1"/>
  <c r="O49" i="1" s="1"/>
  <c r="Q49" i="1" s="1"/>
  <c r="N48" i="1"/>
  <c r="O48" i="1" s="1"/>
  <c r="Q48" i="1" s="1"/>
  <c r="N47" i="1"/>
  <c r="O47" i="1" s="1"/>
  <c r="Q47" i="1" s="1"/>
  <c r="N46" i="1"/>
  <c r="O46" i="1" s="1"/>
  <c r="Q46" i="1" s="1"/>
  <c r="N45" i="1"/>
  <c r="O45" i="1" s="1"/>
  <c r="Q45" i="1" s="1"/>
  <c r="N44" i="1"/>
  <c r="O44" i="1" s="1"/>
  <c r="Q44" i="1" s="1"/>
  <c r="N43" i="1"/>
  <c r="O43" i="1" s="1"/>
  <c r="Q43" i="1" s="1"/>
  <c r="N42" i="1"/>
  <c r="O42" i="1" s="1"/>
  <c r="Q42" i="1" s="1"/>
  <c r="D40" i="1"/>
  <c r="N40" i="1" s="1"/>
  <c r="O40" i="1" s="1"/>
  <c r="Q40" i="1" s="1"/>
  <c r="P32" i="8" s="1"/>
  <c r="N37" i="1"/>
  <c r="N36" i="1"/>
  <c r="O36" i="1" s="1"/>
  <c r="Q36" i="1" s="1"/>
  <c r="N35" i="1"/>
  <c r="O35" i="1" s="1"/>
  <c r="Q35" i="1" s="1"/>
  <c r="N34" i="1"/>
  <c r="O34" i="1" s="1"/>
  <c r="Q34" i="1" s="1"/>
  <c r="N33" i="1"/>
  <c r="O33" i="1" s="1"/>
  <c r="Q33" i="1" s="1"/>
  <c r="N32" i="1"/>
  <c r="O32" i="1" s="1"/>
  <c r="Q32" i="1" s="1"/>
  <c r="N31" i="1"/>
  <c r="O31" i="1" s="1"/>
  <c r="Q31" i="1" s="1"/>
  <c r="N30" i="1"/>
  <c r="O30" i="1" s="1"/>
  <c r="Q30" i="1" s="1"/>
  <c r="N29" i="1"/>
  <c r="O29" i="1" s="1"/>
  <c r="Q29" i="1" s="1"/>
  <c r="N28" i="1"/>
  <c r="O28" i="1" s="1"/>
  <c r="Q28" i="1" s="1"/>
  <c r="D27" i="1"/>
  <c r="N25" i="1"/>
  <c r="O25" i="1" s="1"/>
  <c r="Q25" i="1" s="1"/>
  <c r="P22" i="1"/>
  <c r="M22" i="1"/>
  <c r="M6" i="1" s="1"/>
  <c r="L22" i="1"/>
  <c r="K22" i="1"/>
  <c r="J22" i="1"/>
  <c r="I22" i="1"/>
  <c r="H22" i="1"/>
  <c r="G22" i="1"/>
  <c r="F22" i="1"/>
  <c r="S19" i="1"/>
  <c r="T19" i="1" s="1"/>
  <c r="R19" i="1"/>
  <c r="S18" i="1"/>
  <c r="T18" i="1" s="1"/>
  <c r="R18" i="1"/>
  <c r="G14" i="1"/>
  <c r="L13" i="1"/>
  <c r="K13" i="1"/>
  <c r="G13" i="1"/>
  <c r="L16" i="1"/>
  <c r="K16" i="1"/>
  <c r="G16" i="1"/>
  <c r="L11" i="1"/>
  <c r="K11" i="1"/>
  <c r="G11" i="1"/>
  <c r="P9" i="1"/>
  <c r="L9" i="1"/>
  <c r="K9" i="1"/>
  <c r="G9" i="1"/>
  <c r="Q8" i="1"/>
  <c r="L8" i="1"/>
  <c r="K8" i="1"/>
  <c r="K7" i="1" s="1"/>
  <c r="K6" i="1" s="1"/>
  <c r="G8" i="1"/>
  <c r="J7" i="1"/>
  <c r="I7" i="1"/>
  <c r="H7" i="1"/>
  <c r="F7" i="1"/>
  <c r="D22" i="1" l="1"/>
  <c r="E22" i="1"/>
  <c r="E6" i="1" s="1"/>
  <c r="P31" i="8"/>
  <c r="L7" i="1"/>
  <c r="L6" i="1" s="1"/>
  <c r="P27" i="8"/>
  <c r="O37" i="1"/>
  <c r="Q37" i="1" s="1"/>
  <c r="S37" i="1" s="1"/>
  <c r="T37" i="1" s="1"/>
  <c r="G7" i="1"/>
  <c r="N27" i="1"/>
  <c r="N22" i="1" s="1"/>
  <c r="N6" i="1" s="1"/>
  <c r="P11" i="1"/>
  <c r="D6" i="1"/>
  <c r="P8" i="1"/>
  <c r="N84" i="1"/>
  <c r="P34" i="8"/>
  <c r="P33" i="8"/>
  <c r="P30" i="8"/>
  <c r="P28" i="8"/>
  <c r="F6" i="1"/>
  <c r="U19" i="1"/>
  <c r="P13" i="1"/>
  <c r="P16" i="1"/>
  <c r="S13" i="1"/>
  <c r="T13" i="1" s="1"/>
  <c r="R13" i="1"/>
  <c r="S25" i="1"/>
  <c r="T25" i="1" s="1"/>
  <c r="R25" i="1"/>
  <c r="R29" i="1"/>
  <c r="S29" i="1"/>
  <c r="T29" i="1" s="1"/>
  <c r="S30" i="1"/>
  <c r="T30" i="1" s="1"/>
  <c r="R30" i="1"/>
  <c r="R33" i="1"/>
  <c r="S33" i="1"/>
  <c r="T33" i="1" s="1"/>
  <c r="R35" i="1"/>
  <c r="S35" i="1"/>
  <c r="T35" i="1" s="1"/>
  <c r="R44" i="1"/>
  <c r="S44" i="1"/>
  <c r="T44" i="1" s="1"/>
  <c r="R46" i="1"/>
  <c r="S46" i="1"/>
  <c r="T46" i="1" s="1"/>
  <c r="S47" i="1"/>
  <c r="T47" i="1" s="1"/>
  <c r="R47" i="1"/>
  <c r="R50" i="1"/>
  <c r="S50" i="1"/>
  <c r="T50" i="1" s="1"/>
  <c r="R52" i="1"/>
  <c r="S52" i="1"/>
  <c r="T52" i="1" s="1"/>
  <c r="R54" i="1"/>
  <c r="S54" i="1"/>
  <c r="T54" i="1" s="1"/>
  <c r="S57" i="1"/>
  <c r="T57" i="1" s="1"/>
  <c r="R57" i="1"/>
  <c r="R58" i="1"/>
  <c r="S58" i="1"/>
  <c r="T58" i="1" s="1"/>
  <c r="P14" i="1"/>
  <c r="U18" i="1"/>
  <c r="S28" i="1"/>
  <c r="T28" i="1" s="1"/>
  <c r="R28" i="1"/>
  <c r="R31" i="1"/>
  <c r="S31" i="1"/>
  <c r="T31" i="1" s="1"/>
  <c r="S32" i="1"/>
  <c r="T32" i="1" s="1"/>
  <c r="R32" i="1"/>
  <c r="S34" i="1"/>
  <c r="T34" i="1" s="1"/>
  <c r="R34" i="1"/>
  <c r="S36" i="1"/>
  <c r="T36" i="1" s="1"/>
  <c r="R36" i="1"/>
  <c r="R40" i="1"/>
  <c r="S40" i="1"/>
  <c r="T40" i="1" s="1"/>
  <c r="R42" i="1"/>
  <c r="S42" i="1"/>
  <c r="T42" i="1" s="1"/>
  <c r="S43" i="1"/>
  <c r="T43" i="1" s="1"/>
  <c r="R43" i="1"/>
  <c r="S45" i="1"/>
  <c r="T45" i="1" s="1"/>
  <c r="R45" i="1"/>
  <c r="R48" i="1"/>
  <c r="S48" i="1"/>
  <c r="T48" i="1" s="1"/>
  <c r="S49" i="1"/>
  <c r="T49" i="1" s="1"/>
  <c r="R49" i="1"/>
  <c r="R51" i="1"/>
  <c r="S51" i="1"/>
  <c r="T51" i="1" s="1"/>
  <c r="S53" i="1"/>
  <c r="T53" i="1" s="1"/>
  <c r="R53" i="1"/>
  <c r="S55" i="1"/>
  <c r="T55" i="1" s="1"/>
  <c r="R55" i="1"/>
  <c r="R56" i="1"/>
  <c r="S56" i="1"/>
  <c r="T56" i="1" s="1"/>
  <c r="R59" i="1"/>
  <c r="S59" i="1"/>
  <c r="T59" i="1" s="1"/>
  <c r="S66" i="1"/>
  <c r="T66" i="1" s="1"/>
  <c r="R66" i="1"/>
  <c r="S68" i="1"/>
  <c r="T68" i="1" s="1"/>
  <c r="R68" i="1"/>
  <c r="S71" i="1"/>
  <c r="T71" i="1" s="1"/>
  <c r="R71" i="1"/>
  <c r="R72" i="1"/>
  <c r="S72" i="1"/>
  <c r="T72" i="1" s="1"/>
  <c r="S70" i="1"/>
  <c r="T70" i="1" s="1"/>
  <c r="R70" i="1"/>
  <c r="S76" i="1"/>
  <c r="T76" i="1" s="1"/>
  <c r="R76" i="1"/>
  <c r="Q63" i="1"/>
  <c r="S64" i="1"/>
  <c r="T64" i="1" s="1"/>
  <c r="R64" i="1"/>
  <c r="R67" i="1"/>
  <c r="S67" i="1"/>
  <c r="T67" i="1" s="1"/>
  <c r="R69" i="1"/>
  <c r="S69" i="1"/>
  <c r="T69" i="1" s="1"/>
  <c r="S73" i="1"/>
  <c r="T73" i="1" s="1"/>
  <c r="R73" i="1"/>
  <c r="R74" i="1"/>
  <c r="S74" i="1"/>
  <c r="T74" i="1" s="1"/>
  <c r="S75" i="1"/>
  <c r="T75" i="1" s="1"/>
  <c r="R75" i="1"/>
  <c r="R77" i="1"/>
  <c r="S77" i="1"/>
  <c r="T77" i="1" s="1"/>
  <c r="S81" i="1"/>
  <c r="T81" i="1" s="1"/>
  <c r="U81" i="1" s="1"/>
  <c r="R82" i="1"/>
  <c r="U82" i="1" s="1"/>
  <c r="S87" i="1"/>
  <c r="T87" i="1" s="1"/>
  <c r="U87" i="1" s="1"/>
  <c r="R88" i="1"/>
  <c r="U88" i="1" s="1"/>
  <c r="S89" i="1"/>
  <c r="T89" i="1" s="1"/>
  <c r="U89" i="1" s="1"/>
  <c r="R90" i="1"/>
  <c r="U90" i="1" s="1"/>
  <c r="S91" i="1"/>
  <c r="T91" i="1" s="1"/>
  <c r="U91" i="1" s="1"/>
  <c r="R94" i="1"/>
  <c r="U94" i="1" s="1"/>
  <c r="S95" i="1"/>
  <c r="T95" i="1" s="1"/>
  <c r="U95" i="1" s="1"/>
  <c r="R96" i="1"/>
  <c r="U96" i="1" s="1"/>
  <c r="S97" i="1"/>
  <c r="T97" i="1" s="1"/>
  <c r="U97" i="1" s="1"/>
  <c r="R99" i="1"/>
  <c r="U99" i="1" s="1"/>
  <c r="S100" i="1"/>
  <c r="T100" i="1" s="1"/>
  <c r="U100" i="1" s="1"/>
  <c r="R101" i="1"/>
  <c r="U101" i="1" s="1"/>
  <c r="S102" i="1"/>
  <c r="T102" i="1" s="1"/>
  <c r="U102" i="1" s="1"/>
  <c r="R103" i="1"/>
  <c r="U103" i="1" s="1"/>
  <c r="S105" i="1"/>
  <c r="T105" i="1" s="1"/>
  <c r="U105" i="1" s="1"/>
  <c r="R106" i="1"/>
  <c r="U106" i="1" s="1"/>
  <c r="S107" i="1"/>
  <c r="T107" i="1" s="1"/>
  <c r="U107" i="1" s="1"/>
  <c r="R108" i="1"/>
  <c r="U108" i="1" s="1"/>
  <c r="S109" i="1"/>
  <c r="T109" i="1" s="1"/>
  <c r="U109" i="1" s="1"/>
  <c r="R110" i="1"/>
  <c r="U110" i="1" s="1"/>
  <c r="N16" i="13"/>
  <c r="K17" i="8"/>
  <c r="L17" i="8"/>
  <c r="R37" i="1" l="1"/>
  <c r="U37" i="1" s="1"/>
  <c r="P29" i="8"/>
  <c r="O27" i="1"/>
  <c r="Q27" i="1" s="1"/>
  <c r="O80" i="1"/>
  <c r="N61" i="1"/>
  <c r="N60" i="1" s="1"/>
  <c r="U51" i="1"/>
  <c r="U25" i="1"/>
  <c r="D4" i="8"/>
  <c r="J18" i="8"/>
  <c r="J4" i="8" s="1"/>
  <c r="N17" i="8"/>
  <c r="O17" i="8" s="1"/>
  <c r="P7" i="1"/>
  <c r="P6" i="1" s="1"/>
  <c r="Q85" i="1"/>
  <c r="O84" i="1"/>
  <c r="U75" i="1"/>
  <c r="U73" i="1"/>
  <c r="U64" i="1"/>
  <c r="U55" i="1"/>
  <c r="U53" i="1"/>
  <c r="U58" i="1"/>
  <c r="U54" i="1"/>
  <c r="U52" i="1"/>
  <c r="U50" i="1"/>
  <c r="U46" i="1"/>
  <c r="U59" i="1"/>
  <c r="U48" i="1"/>
  <c r="U42" i="1"/>
  <c r="U40" i="1"/>
  <c r="U31" i="1"/>
  <c r="U47" i="1"/>
  <c r="U30" i="1"/>
  <c r="U76" i="1"/>
  <c r="U70" i="1"/>
  <c r="U71" i="1"/>
  <c r="U68" i="1"/>
  <c r="U66" i="1"/>
  <c r="U72" i="1"/>
  <c r="R11" i="1"/>
  <c r="S11" i="1"/>
  <c r="R8" i="1"/>
  <c r="S8" i="1"/>
  <c r="U49" i="1"/>
  <c r="U45" i="1"/>
  <c r="U43" i="1"/>
  <c r="U36" i="1"/>
  <c r="U34" i="1"/>
  <c r="U32" i="1"/>
  <c r="U28" i="1"/>
  <c r="R14" i="1"/>
  <c r="S14" i="1"/>
  <c r="T14" i="1" s="1"/>
  <c r="U57" i="1"/>
  <c r="S27" i="1"/>
  <c r="T27" i="1" s="1"/>
  <c r="Q86" i="1"/>
  <c r="U77" i="1"/>
  <c r="U74" i="1"/>
  <c r="U69" i="1"/>
  <c r="U67" i="1"/>
  <c r="R63" i="1"/>
  <c r="S63" i="1"/>
  <c r="T63" i="1" s="1"/>
  <c r="R9" i="1"/>
  <c r="S9" i="1"/>
  <c r="U56" i="1"/>
  <c r="U44" i="1"/>
  <c r="U35" i="1"/>
  <c r="U33" i="1"/>
  <c r="U29" i="1"/>
  <c r="U13" i="1"/>
  <c r="S16" i="1"/>
  <c r="T16" i="1" s="1"/>
  <c r="R16" i="1"/>
  <c r="N19" i="13"/>
  <c r="R27" i="1" l="1"/>
  <c r="R22" i="1" s="1"/>
  <c r="P26" i="8"/>
  <c r="M18" i="8"/>
  <c r="M4" i="8" s="1"/>
  <c r="C4" i="8"/>
  <c r="O22" i="1"/>
  <c r="O6" i="1" s="1"/>
  <c r="Q22" i="1"/>
  <c r="Q80" i="1"/>
  <c r="O61" i="1"/>
  <c r="O60" i="1" s="1"/>
  <c r="R6" i="1"/>
  <c r="T11" i="1"/>
  <c r="U11" i="1" s="1"/>
  <c r="S85" i="1"/>
  <c r="Q84" i="1"/>
  <c r="R85" i="1"/>
  <c r="T9" i="1"/>
  <c r="U9" i="1" s="1"/>
  <c r="U27" i="1"/>
  <c r="U63" i="1"/>
  <c r="U14" i="1"/>
  <c r="S22" i="1"/>
  <c r="Q6" i="1"/>
  <c r="R86" i="1"/>
  <c r="S86" i="1"/>
  <c r="T8" i="1"/>
  <c r="P25" i="8" l="1"/>
  <c r="R80" i="1"/>
  <c r="S80" i="1"/>
  <c r="Q61" i="1"/>
  <c r="Q60" i="1" s="1"/>
  <c r="P35" i="8" s="1"/>
  <c r="D35" i="8" s="1"/>
  <c r="R84" i="1"/>
  <c r="T85" i="1"/>
  <c r="U85" i="1" s="1"/>
  <c r="S84" i="1"/>
  <c r="U8" i="1"/>
  <c r="S6" i="1"/>
  <c r="T86" i="1"/>
  <c r="U86" i="1" s="1"/>
  <c r="U22" i="1"/>
  <c r="T22" i="1"/>
  <c r="T80" i="1" l="1"/>
  <c r="T61" i="1" s="1"/>
  <c r="S61" i="1"/>
  <c r="S60" i="1" s="1"/>
  <c r="U80" i="1"/>
  <c r="U61" i="1" s="1"/>
  <c r="R61" i="1"/>
  <c r="R60" i="1" s="1"/>
  <c r="T6" i="1"/>
  <c r="U6" i="1"/>
  <c r="U84" i="1"/>
  <c r="U60" i="1" s="1"/>
  <c r="T84" i="1"/>
  <c r="T60" i="1" l="1"/>
  <c r="L9" i="8" l="1"/>
  <c r="N11" i="13"/>
  <c r="K9" i="8" l="1"/>
  <c r="L10" i="8"/>
  <c r="N9" i="8" l="1"/>
  <c r="O9" i="8"/>
  <c r="K10" i="8" l="1"/>
  <c r="N10" i="8" l="1"/>
  <c r="O10" i="8" s="1"/>
  <c r="K20" i="8" l="1"/>
  <c r="K7" i="8"/>
  <c r="N7" i="8" s="1"/>
  <c r="N20" i="8" l="1"/>
  <c r="G25" i="8"/>
  <c r="G3" i="8" s="1"/>
  <c r="C26" i="8"/>
  <c r="J26" i="8"/>
  <c r="C33" i="8"/>
  <c r="M33" i="8" s="1"/>
  <c r="J33" i="8"/>
  <c r="C29" i="8"/>
  <c r="M29" i="8" s="1"/>
  <c r="J29" i="8"/>
  <c r="J34" i="8"/>
  <c r="C34" i="8"/>
  <c r="M34" i="8" s="1"/>
  <c r="J30" i="8"/>
  <c r="K30" i="8" s="1"/>
  <c r="N30" i="8" s="1"/>
  <c r="C30" i="8"/>
  <c r="M30" i="8" s="1"/>
  <c r="J32" i="8"/>
  <c r="C32" i="8"/>
  <c r="M32" i="8" s="1"/>
  <c r="J27" i="8"/>
  <c r="C27" i="8"/>
  <c r="M27" i="8" s="1"/>
  <c r="J28" i="8"/>
  <c r="K28" i="8" s="1"/>
  <c r="N28" i="8" s="1"/>
  <c r="C28" i="8"/>
  <c r="M28" i="8" s="1"/>
  <c r="L33" i="8" l="1"/>
  <c r="J25" i="8"/>
  <c r="M26" i="8"/>
  <c r="M25" i="8" s="1"/>
  <c r="C25" i="8"/>
  <c r="D25" i="8" s="1"/>
  <c r="D3" i="8" s="1"/>
  <c r="L26" i="8"/>
  <c r="L29" i="8"/>
  <c r="L27" i="8"/>
  <c r="L34" i="8"/>
  <c r="L32" i="8"/>
  <c r="K32" i="8"/>
  <c r="N32" i="8" s="1"/>
  <c r="L30" i="8"/>
  <c r="L28" i="8"/>
  <c r="K27" i="8"/>
  <c r="K34" i="8"/>
  <c r="N34" i="8" s="1"/>
  <c r="K29" i="8"/>
  <c r="N29" i="8" s="1"/>
  <c r="K33" i="8"/>
  <c r="N33" i="8" s="1"/>
  <c r="K26" i="8"/>
  <c r="N26" i="8" l="1"/>
  <c r="K25" i="8"/>
  <c r="L25" i="8"/>
  <c r="N27" i="8"/>
  <c r="O27" i="8" s="1"/>
  <c r="O28" i="8"/>
  <c r="O30" i="8"/>
  <c r="O33" i="8"/>
  <c r="O29" i="8"/>
  <c r="N8" i="13"/>
  <c r="N9" i="13"/>
  <c r="N7" i="13"/>
  <c r="N25" i="8" l="1"/>
  <c r="O32" i="8"/>
  <c r="O34" i="8"/>
  <c r="O26" i="8"/>
  <c r="O25" i="8" l="1"/>
  <c r="J35" i="8" l="1"/>
  <c r="K35" i="8" s="1"/>
  <c r="N21" i="13"/>
  <c r="N18" i="13"/>
  <c r="N10" i="13"/>
  <c r="N17" i="13" l="1"/>
  <c r="N24" i="13"/>
  <c r="P3" i="8"/>
  <c r="H3" i="8"/>
  <c r="L20" i="8"/>
  <c r="N27" i="13" l="1"/>
  <c r="C27" i="13"/>
  <c r="K15" i="8"/>
  <c r="N15" i="8" s="1"/>
  <c r="K14" i="8"/>
  <c r="O20" i="8"/>
  <c r="L22" i="8"/>
  <c r="N14" i="8" l="1"/>
  <c r="K22" i="8"/>
  <c r="N22" i="8" l="1"/>
  <c r="L23" i="8"/>
  <c r="L21" i="8"/>
  <c r="O22" i="8" l="1"/>
  <c r="K21" i="8"/>
  <c r="N21" i="8" s="1"/>
  <c r="K23" i="8"/>
  <c r="N23" i="8" l="1"/>
  <c r="O23" i="8" s="1"/>
  <c r="O21" i="8" l="1"/>
  <c r="L18" i="8" l="1"/>
  <c r="L16" i="8"/>
  <c r="L15" i="8"/>
  <c r="L14" i="8"/>
  <c r="L8" i="8"/>
  <c r="L7" i="8"/>
  <c r="L6" i="8"/>
  <c r="L5" i="8"/>
  <c r="L4" i="8" l="1"/>
  <c r="C3" i="8"/>
  <c r="K16" i="8"/>
  <c r="K18" i="8"/>
  <c r="O6" i="8"/>
  <c r="O7" i="8"/>
  <c r="O15" i="8"/>
  <c r="O14" i="8"/>
  <c r="O5" i="8"/>
  <c r="N16" i="8" l="1"/>
  <c r="N18" i="8"/>
  <c r="M3" i="8"/>
  <c r="L3" i="8"/>
  <c r="K8" i="8"/>
  <c r="K4" i="8" s="1"/>
  <c r="O18" i="8" l="1"/>
  <c r="N8" i="8"/>
  <c r="N4" i="8" s="1"/>
  <c r="O16" i="8"/>
  <c r="K3" i="8"/>
  <c r="J3" i="8"/>
  <c r="N3" i="8" l="1"/>
  <c r="O8" i="8"/>
  <c r="O4" i="8" s="1"/>
  <c r="O3" i="8" s="1"/>
</calcChain>
</file>

<file path=xl/sharedStrings.xml><?xml version="1.0" encoding="utf-8"?>
<sst xmlns="http://schemas.openxmlformats.org/spreadsheetml/2006/main" count="367" uniqueCount="264">
  <si>
    <t>Tên khu công nghiệp</t>
  </si>
  <si>
    <t>Hiện trạng</t>
  </si>
  <si>
    <t>Quy mô (ha)</t>
  </si>
  <si>
    <t>Tỷ lệ lấp đầy (%)</t>
  </si>
  <si>
    <t>Tổng số công nhân (người)</t>
  </si>
  <si>
    <t>Số công nhân đang thuê nhà ở của dân (người)</t>
  </si>
  <si>
    <t>Các khu công nghiệp hiện có</t>
  </si>
  <si>
    <t>Đình Trám</t>
  </si>
  <si>
    <t>Quang Châu</t>
  </si>
  <si>
    <t>Vân Trung</t>
  </si>
  <si>
    <t>Song Khê - Nội Hoàng</t>
  </si>
  <si>
    <t>Việt Hàn</t>
  </si>
  <si>
    <t>STT</t>
  </si>
  <si>
    <t>Tên dự án</t>
  </si>
  <si>
    <t>I</t>
  </si>
  <si>
    <t>II</t>
  </si>
  <si>
    <t>Hòa Phú</t>
  </si>
  <si>
    <t>Diện tích đất dự án  (ha)</t>
  </si>
  <si>
    <t>Ghi chú</t>
  </si>
  <si>
    <t>Đã khởi công</t>
  </si>
  <si>
    <t>Khu nhà ở công nhân Đình Trám</t>
  </si>
  <si>
    <t>Chưa khởi công do chưa GPMB</t>
  </si>
  <si>
    <t>Đang lập quy hoạch</t>
  </si>
  <si>
    <t>Đã phê duyệt quy hoạch</t>
  </si>
  <si>
    <t>Tổng kinh phí (tỷ đồng)</t>
  </si>
  <si>
    <t>Kinh phí ĐTXD công trình (tỷ đồng)</t>
  </si>
  <si>
    <t>Kinh phí ĐTXD hạ tầng (tỷ đồng)</t>
  </si>
  <si>
    <t>Kinh phí GMMB (tỷ đồng)</t>
  </si>
  <si>
    <t>Diện tích sàn ở (m2)</t>
  </si>
  <si>
    <t>Diện tích sàn XD (m2)</t>
  </si>
  <si>
    <t>Huyện</t>
  </si>
  <si>
    <t>Việt Yên</t>
  </si>
  <si>
    <t>Hiệp Hoà</t>
  </si>
  <si>
    <t>TP Bắc Giang</t>
  </si>
  <si>
    <t>Dự kiến đáp ứng cho 65% số công nhân có nhu cầu đến 2025 (người)</t>
  </si>
  <si>
    <t>Lao động tại địa phương (61%)</t>
  </si>
  <si>
    <t>Lao động tỉnh ngoài (39%)</t>
  </si>
  <si>
    <t>Sơn Động</t>
  </si>
  <si>
    <t xml:space="preserve"> Yên Dũng</t>
  </si>
  <si>
    <t>Số công nhân có nhu cầu về nhà ở (người)</t>
  </si>
  <si>
    <t>Yên Dũng</t>
  </si>
  <si>
    <t>Hiệp Hòa</t>
  </si>
  <si>
    <t>Giải phóng mặt bằng khoảng 3 tỷ/ ha</t>
  </si>
  <si>
    <t>Yên Lư</t>
  </si>
  <si>
    <t>Bắc Lũng</t>
  </si>
  <si>
    <t>Lục Nam</t>
  </si>
  <si>
    <t>Hộ gia đình (hệ số 2)</t>
  </si>
  <si>
    <t xml:space="preserve">KCN Song Mai-Nghĩa Trung </t>
  </si>
  <si>
    <t xml:space="preserve"> Quang Châu 2</t>
  </si>
  <si>
    <t xml:space="preserve"> Đô thị - Dịch vụ - Tiên Sơn - Ninh Sơn </t>
  </si>
  <si>
    <t>Minh Đức-Thượng Lan - Ngọc Thiện</t>
  </si>
  <si>
    <t>Thượng Lan</t>
  </si>
  <si>
    <t>Đô Thị - Dịch vụ Xuân Cẩm - Hương Lâm</t>
  </si>
  <si>
    <t>Đô thị-Dịch vụ Châu Minh - Bắc Lý-Hương Lâm</t>
  </si>
  <si>
    <t xml:space="preserve">Thanh Vân-Hoàng An </t>
  </si>
  <si>
    <t>Mỹ Thái-Xuân Hương-Tân Dĩnh</t>
  </si>
  <si>
    <t>Lạng Giang</t>
  </si>
  <si>
    <t>Đô thị-Dịch vụ Nghĩa Hưng</t>
  </si>
  <si>
    <t>Tân Hưng</t>
  </si>
  <si>
    <t>Đô thị-Dịch vụ Đức Giang</t>
  </si>
  <si>
    <t>Cụm CN</t>
  </si>
  <si>
    <t xml:space="preserve"> Thọ Xương</t>
  </si>
  <si>
    <t xml:space="preserve"> Xương Giang II </t>
  </si>
  <si>
    <t xml:space="preserve"> TP Bắc Giang</t>
  </si>
  <si>
    <t xml:space="preserve"> Tân Mỹ</t>
  </si>
  <si>
    <t xml:space="preserve"> Tân Mỹ - Song Khê</t>
  </si>
  <si>
    <t xml:space="preserve"> Dĩnh Trì</t>
  </si>
  <si>
    <t xml:space="preserve"> Làng nghề Đa Mai </t>
  </si>
  <si>
    <t xml:space="preserve"> Bãi Ổi</t>
  </si>
  <si>
    <t>Cụm CN Việt Tiến</t>
  </si>
  <si>
    <t xml:space="preserve"> Hoàng Mai</t>
  </si>
  <si>
    <t xml:space="preserve"> Làng nghề Vân Hà</t>
  </si>
  <si>
    <t xml:space="preserve"> Nghĩa Trung</t>
  </si>
  <si>
    <t xml:space="preserve"> Minh Đức</t>
  </si>
  <si>
    <t xml:space="preserve"> Hợp Thịnh</t>
  </si>
  <si>
    <t xml:space="preserve"> Hà Thịnh </t>
  </si>
  <si>
    <t xml:space="preserve"> Jutech</t>
  </si>
  <si>
    <t>CCN Kim Tràng</t>
  </si>
  <si>
    <t>Tân Yên</t>
  </si>
  <si>
    <t xml:space="preserve"> Đồng Đình</t>
  </si>
  <si>
    <t xml:space="preserve">Cụm CN Bố Hạ  </t>
  </si>
  <si>
    <t>Cụm CN Cầu Gồ</t>
  </si>
  <si>
    <t>CCN Tân Sỏi</t>
  </si>
  <si>
    <t xml:space="preserve"> Yên Thế</t>
  </si>
  <si>
    <t>Yên Thế</t>
  </si>
  <si>
    <t>Cụm CN Non Sáo</t>
  </si>
  <si>
    <t>Cụm CN Đại Lâm</t>
  </si>
  <si>
    <t xml:space="preserve"> Tân Dĩnh - Phi Mô</t>
  </si>
  <si>
    <t>Vôi - Yên Mỹ</t>
  </si>
  <si>
    <t xml:space="preserve"> Nghĩa Hòa</t>
  </si>
  <si>
    <t xml:space="preserve"> Lạng Giang</t>
  </si>
  <si>
    <t xml:space="preserve"> Hương Sơn</t>
  </si>
  <si>
    <t xml:space="preserve"> Hương Sơn 2</t>
  </si>
  <si>
    <t>Cụm CN Tân Dân</t>
  </si>
  <si>
    <t xml:space="preserve">Cụm CN Nội Hoàng </t>
  </si>
  <si>
    <t xml:space="preserve">Cụm CN Đồi Ngô </t>
  </si>
  <si>
    <t xml:space="preserve">Cụm CN Già Khê </t>
  </si>
  <si>
    <t>Cụm CN Lan Sơn</t>
  </si>
  <si>
    <t>Cụm CN Vũ Xá</t>
  </si>
  <si>
    <t xml:space="preserve"> Lục Nam</t>
  </si>
  <si>
    <t>Cụm CN Cầu Đất</t>
  </si>
  <si>
    <t>Cụm CN Mỹ An</t>
  </si>
  <si>
    <t>CCN Phượng Sơn</t>
  </si>
  <si>
    <t xml:space="preserve"> Lục Ngạn</t>
  </si>
  <si>
    <t>Lục Ngạn</t>
  </si>
  <si>
    <t>Cụm công nghiệp TP Bắc Giang</t>
  </si>
  <si>
    <t>Cụm công nghiệp Việt Yên</t>
  </si>
  <si>
    <t>Cụm công nghiệp Hiệp Hòa</t>
  </si>
  <si>
    <t>Cụm công nghiệp Tân Yên</t>
  </si>
  <si>
    <t>Cụm công nghiệp Yên Thế</t>
  </si>
  <si>
    <t>Cụm công nghiệp Lạng Giang</t>
  </si>
  <si>
    <t>Cụm công nghiệp Yên Dũng</t>
  </si>
  <si>
    <t>Cụm công nghiệp Lục Nam</t>
  </si>
  <si>
    <t>Cụm công nghiệp Lục Ngạn</t>
  </si>
  <si>
    <t>Nghĩa Phương</t>
  </si>
  <si>
    <t>CCN Ngọc Vân</t>
  </si>
  <si>
    <t>Đồng Điều</t>
  </si>
  <si>
    <t>Phương Sơn</t>
  </si>
  <si>
    <t>Đào Mỹ- Tiên Lục</t>
  </si>
  <si>
    <t>Lăng Cao</t>
  </si>
  <si>
    <t>Việt Ngọc</t>
  </si>
  <si>
    <t xml:space="preserve">Các khu công nghiệp </t>
  </si>
  <si>
    <t>A</t>
  </si>
  <si>
    <t>B</t>
  </si>
  <si>
    <t xml:space="preserve">Phạm vi phục vụ </t>
  </si>
  <si>
    <t>KCN Vân Trung</t>
  </si>
  <si>
    <t>KCN Đình Trám</t>
  </si>
  <si>
    <t>KCN Đình Trám-Song Khê- Vân Trung</t>
  </si>
  <si>
    <t>KCN Quang Châu</t>
  </si>
  <si>
    <t>KCN Song Khê- Nội Hoàng</t>
  </si>
  <si>
    <t>KCN Hòa Phú</t>
  </si>
  <si>
    <t>KCN Vân Trung, KCN Việt Hàn</t>
  </si>
  <si>
    <t>KCN Yên Lư</t>
  </si>
  <si>
    <t>KCN Bắc Lũng</t>
  </si>
  <si>
    <t>ĐỊNH HƯỚNG ĐẾN NĂM 2030</t>
  </si>
  <si>
    <t>ĐẾN NĂM 2025</t>
  </si>
  <si>
    <t>ĐẾN NĂM 2030</t>
  </si>
  <si>
    <t xml:space="preserve">Số công nhân độc thân 60% </t>
  </si>
  <si>
    <t xml:space="preserve">Số công nhân gia đình 40%) </t>
  </si>
  <si>
    <t>ĐẾN NĂM 2025 (A+B)</t>
  </si>
  <si>
    <t>KCN Việt Hàn</t>
  </si>
  <si>
    <t xml:space="preserve">Dự kiến giải quyết  số công nhân có nhu cầu về nhà ở (đến năm 2025 là 80%, năm 2030 là 90%) 
</t>
  </si>
  <si>
    <t xml:space="preserve">Cụm CN Lan Sơn 2 </t>
  </si>
  <si>
    <t>Cụm CN Tiên Hưng</t>
  </si>
  <si>
    <t>Tự Lạn-Bích Sơn- Trung Sơn</t>
  </si>
  <si>
    <t>Ngọc Vân</t>
  </si>
  <si>
    <t>Tư Mại Đồng Phúc</t>
  </si>
  <si>
    <t>Phúc Sơn</t>
  </si>
  <si>
    <t>Yên Sơn</t>
  </si>
  <si>
    <t xml:space="preserve"> Đông Lỗ 2</t>
  </si>
  <si>
    <t>Danh Thắng-Đoan Bái</t>
  </si>
  <si>
    <t>CCN Đông Sơn</t>
  </si>
  <si>
    <t xml:space="preserve"> Đại Lâm 2</t>
  </si>
  <si>
    <t>Bảo Sơn</t>
  </si>
  <si>
    <t>Trường Sơn</t>
  </si>
  <si>
    <t>Khám Lạng</t>
  </si>
  <si>
    <t>Mở rộng Hòa Phú</t>
  </si>
  <si>
    <t>Cụm  Hồng Thái-Tân Mỹ sáp nhập vào KCN Việt Hàn</t>
  </si>
  <si>
    <t>Mở rộng Quang Châu</t>
  </si>
  <si>
    <t>Khà ở công nhân KCN- Đô thị - dịch vụ Yên Lư huyện Yên Dũng (giai đoạn 1, 18T)</t>
  </si>
  <si>
    <t>Đáp ứng số công nhân (công nhân)</t>
  </si>
  <si>
    <t>Xây dựng công trình nhà ở  9,935 triệu/m2</t>
  </si>
  <si>
    <t>Đầu tư hạ tầng kỹ thuật  8,45 tỷ/ha</t>
  </si>
  <si>
    <t>Tổng mức đầu tư để thực hiện dự án tính theo suất đầu tư xây dựng của Bộ Xây dựng tại Quyết định số 65/QĐ-BXD ngày 20/01/2021.</t>
  </si>
  <si>
    <t>Đang lựa chọn chủ đầu tư</t>
  </si>
  <si>
    <t>Thái Đào-Tân An</t>
  </si>
  <si>
    <t>Sáp nhập CCN Tăng Tiến</t>
  </si>
  <si>
    <t>Hòa Yên</t>
  </si>
  <si>
    <t>Ngọc Lý</t>
  </si>
  <si>
    <t>Yên Lư mở rộng</t>
  </si>
  <si>
    <t xml:space="preserve"> Đoan Bái</t>
  </si>
  <si>
    <t xml:space="preserve"> Việt Nhật </t>
  </si>
  <si>
    <t xml:space="preserve">CCN Jutech </t>
  </si>
  <si>
    <t xml:space="preserve"> Đoan Bái- Lương Phong 1</t>
  </si>
  <si>
    <t xml:space="preserve"> Đoan Bái- Lương Phong 2</t>
  </si>
  <si>
    <t>Nếnh</t>
  </si>
  <si>
    <t>Cụm CN Tiên Sơn</t>
  </si>
  <si>
    <t>Hòa Sơn Quang Minh</t>
  </si>
  <si>
    <t>Quang Tiến</t>
  </si>
  <si>
    <t>Tây Yên Tử</t>
  </si>
  <si>
    <t>Mai Trung</t>
  </si>
  <si>
    <t xml:space="preserve"> KCN Tân Hưng</t>
  </si>
  <si>
    <t>TT</t>
  </si>
  <si>
    <t>Tên Khu công nghiệp/ Dự án</t>
  </si>
  <si>
    <t>Tổng cộng</t>
  </si>
  <si>
    <t>KCN Song Khê - Nội Hoàng</t>
  </si>
  <si>
    <t>KCN Yên Sơn-Bắc Lũng</t>
  </si>
  <si>
    <t>KCN Tân Hưng</t>
  </si>
  <si>
    <t>Đã lập quy hoạch</t>
  </si>
  <si>
    <t>Khu nhà ở công nhân thôn Trung Đồng, xã Vân Trung 18T(do Công ty Fuji tài trợ quy hoạch)</t>
  </si>
  <si>
    <t>Khu thiết chế văn hóa 5ha thuộc KĐT Vân Cốc, xã Vân Trung (Công ty Bảo Tàng tài trợ QH)</t>
  </si>
  <si>
    <t>Khu nhà ở công nhân Đình Trám (2,98ha CT Vương Vĩ làm CĐT)</t>
  </si>
  <si>
    <t>Khu nhà ở công nhân thôn Trung Đồng, xã Vân Trung 18T (6,1ha CT Fuji tài trợ QH)</t>
  </si>
  <si>
    <t>Khu thiết chế văn hóa 5ha thuộc KĐT Vân Trung 74ha (CT Bảo Tàng tài trợ QH)</t>
  </si>
  <si>
    <t>Khu nhà ở xã hội thị trấn Nham Biền 18T (Công ty Vĩnh Phát tài trợ QH)</t>
  </si>
  <si>
    <t>Khà ở công nhân KCN- Đô thị- Dịch vụ Yên Sơn, huyện Lục Nam (giai đoạn 1, 18T)</t>
  </si>
  <si>
    <t>Dự kiến quy hoạch phát triển đến năm 
(số người)</t>
  </si>
  <si>
    <t>HIỆN TRẠNG</t>
  </si>
  <si>
    <t xml:space="preserve">Tổng  số người  </t>
  </si>
  <si>
    <t xml:space="preserve">Số công nhân độc thân chiếm 60% có nhu cầu về nhà ở xã hội (người) </t>
  </si>
  <si>
    <t>Mở rộng (sáp nhập CCN)</t>
  </si>
  <si>
    <t>Số công nhân  (170 công nhân/ha, KCN) (105 công nhân/ha đối với CCN)</t>
  </si>
  <si>
    <t>Dự kiến nhu cầu ở (khoảng 75% đối với KCN, 65% đối với CCN)</t>
  </si>
  <si>
    <t xml:space="preserve">Số công nhân  có nhu cầu thuê, mua nhà ở xã hội (đối với hộ gia đình/ nhà ở dạng căn hộ chiếm 40%) (người) </t>
  </si>
  <si>
    <t>Số công nhân độc thân chiếm 60% tổng số công nhân có nhu cầu về nhà ở</t>
  </si>
  <si>
    <t>Số công nhân có nhu cầu thuê nhà theo căn hộ chiếm 40% tổng số công nhân có nhu cầu về nhà ở</t>
  </si>
  <si>
    <t>Diện tích đất ở   (ha)</t>
  </si>
  <si>
    <t>Số công nhân (công nhân)</t>
  </si>
  <si>
    <t>Tổng số dân (người)</t>
  </si>
  <si>
    <t>Số người phát sinh  do xây dựng gia đình (người)</t>
  </si>
  <si>
    <t>Đang thi công</t>
  </si>
  <si>
    <t xml:space="preserve">DỰ ÁN CHO KHU CÔNG NGHIỆP ĐẾN NĂM 2025 </t>
  </si>
  <si>
    <t>Mật độ xây dựng 50%, diện tích đất xây dựng nhà ở chiếm 30%, chiều cao tầng trung bình 15 tầng, 20 tầng. Mật độ lô đất trong khu đô thị tính 40%</t>
  </si>
  <si>
    <t>Thiết kế 12m2/ người (theo Chiến lược về nhà ở quốc gia đến năm 2020 và tầm nhìn đến năm 2030 của Thủ tướng Chính phủ phê duyệt tại Quyết định số 2127/QĐ-TTg ngày 30/11/2011); diện tích sàn nhà ở chiếm 70% sàn xây dựng</t>
  </si>
  <si>
    <t>DỰ ÁN PHỤC VỤ CỤM CÔNG NGHIỆP ĐẾN NĂM 2025</t>
  </si>
  <si>
    <t>Số công nhân còn lại để dự phòng (công nhân)</t>
  </si>
  <si>
    <t>và dự phòng 10% khoảng 37.000 công nhân cho các KCN có công nhân tăng đột biến)</t>
  </si>
  <si>
    <t>Châu Minh-Mai Đình</t>
  </si>
  <si>
    <t>Khu nhà ở xã hội Vân Trung  (16,7ha Cty Fugiang làm CĐT)</t>
  </si>
  <si>
    <t>Khu nhà ở xã hội dành cho công nhân thôn Chiền xã Nội Hoàng, 5,7ha (6-18 Tầng CT Fuji làm CĐT)</t>
  </si>
  <si>
    <t>Khu nhà ở xã hội dành cho công nhân tại Khu đô thị thị trấn Nếnh (TB 20 Tầng), 10,26ha</t>
  </si>
  <si>
    <t>Khu nhà ở xã hội  3,2 ha thuộc khu đô thị Quang Châu 30ha;18 tầng (CT SaigonTel tài trợ QH)</t>
  </si>
  <si>
    <t>Khu nhà ở xã hội  thôn Nam Ngạn, xã Quang Châu ( CT Hải Tiến tài trợ QH 3,3ha) 18 tầng</t>
  </si>
  <si>
    <t>Khu nhà ở xã hội thôn Nam Ngạn Quang Châu (CT Phú Hải tài trợ QH 3,4ha); 18 tầng</t>
  </si>
  <si>
    <t>Khu nhà ở xã hội dành cho công nhân Quang Châu  (CT Thiên Ân tài trợ QH 4,4ha) 18 tầng</t>
  </si>
  <si>
    <t>Khu nhà ở xã hội xã Hoàng Ninh (CT Fuji tài trợ QH 20T) 12,6ha</t>
  </si>
  <si>
    <t>Khu nhà ở xã hội thuộc KĐT Phượng Hoàng xã Nội Hoàng 20T (CT Tiến Bộ tài trợ QH 5,2ha )</t>
  </si>
  <si>
    <t>Khu nhà ở xã thuộc Khu đô thị mới xã Nội Hoàng 15T (CT VinaLand làm CĐT KĐT 8,2ha)</t>
  </si>
  <si>
    <t xml:space="preserve">Khu nhà ở xã hội xã Tăng Tiến gần KCN Việt Hàn 20T </t>
  </si>
  <si>
    <t>Khu nhà ở công nhân KCN Hòa Phú 18T (CT Hòa Phú tài trợ QH 26,7ha)</t>
  </si>
  <si>
    <t>Nhà ở xã hội tại khu đô thị Vân Trung 74 ha 20 Tầng (CT Bảo Tàng tài trợ QH</t>
  </si>
  <si>
    <t>Khu nhà ở xã hội thị trấn Nham Biền 15T (CT Vĩnh Phát tài trợ QH 5ha)</t>
  </si>
  <si>
    <t>Khu nhà ở công nhân KCN Tân Hưng (13ha)</t>
  </si>
  <si>
    <t>Khà ở công nhân KCN- Đô thị- Dịch vụ Yên Sơn, huyện Lục Nam (giai đoạn 1, 18T),  26ha</t>
  </si>
  <si>
    <t>Khà ở công nhân KCN- Đô thị - dịch vụ Yên Lư huyện Yên Dũng (giai đoạn 1, 18T) 31,7ha</t>
  </si>
  <si>
    <t xml:space="preserve">Khu nhà ở xã hội Vân Trung </t>
  </si>
  <si>
    <t>Khu nhà ở xã hội dành cho công nhân thôn Chiền xã Nội Hoàng (6-18 Tầng)</t>
  </si>
  <si>
    <t>Khu NOXH dành cho công nhân tại Khu đô thị thị trấn Nếnh (TB 20 Tầng)</t>
  </si>
  <si>
    <t>Khu nhà ở xã hội 3,2ha  thuộc khu đô thị  Quang Châu 30ha 18 tầng (Công ty SaigonTel tài trợ QH)</t>
  </si>
  <si>
    <t>Khu nhà ở xã hội tại thôn Nam Ngạn Quang Châu  ( CT Hải Tiến 3,3ha tài trợ QH) 18 tầng</t>
  </si>
  <si>
    <t>Khu nhà ở xã hội dành công nhân Quang Châu  (Công ty Thiên Ân tài trợ QH 4,4ha) 18 tầng</t>
  </si>
  <si>
    <t>Khu nhà ở xã hội xã Hoàng Ninh (Công ty Fuji tài trợ QH 20T)</t>
  </si>
  <si>
    <t>Khu nhà ở xã hội thuộc KĐT Phượng Hoàng xã Nội Hoàng 20T (Công ty Tiến Bộ tài trợ QH)</t>
  </si>
  <si>
    <t>Khu nhà ở xã thuộc Khu đô thị mới xã Nội Hoàng 15T (Công ty Vinaland tài trợ QH)</t>
  </si>
  <si>
    <t>Khu nhà ở xã hội xã Tăng Tiến gần KCN Việt Hàn (Công ty BMK tài trợ lập quy hoạch) 18T</t>
  </si>
  <si>
    <t>Khu nhà ở công nhân KCN Hòa Phú 18T (Công ty Hòa Phú tài trợ QH)</t>
  </si>
  <si>
    <t>Khu Nhà ở xã hội  thuộc khu đô thị Vân Trung 18 Tầng (Công ty Bảo Tàng tài trợ QH)</t>
  </si>
  <si>
    <t>Khu nhà ở công nhân KCN Tân Hưng</t>
  </si>
  <si>
    <t>14=13*0,8(0,9)</t>
  </si>
  <si>
    <t>15=14*0,6</t>
  </si>
  <si>
    <t>16=14*0,4</t>
  </si>
  <si>
    <t>17=16*2</t>
  </si>
  <si>
    <t>18=15+17</t>
  </si>
  <si>
    <t>Phạm vị dự án phục vụ cho KCN</t>
  </si>
  <si>
    <t>Số công nhân được giải quyết về nhà ở làm việc tại các KCN (công nhân)</t>
  </si>
  <si>
    <t>Dân số trong dự án (người)</t>
  </si>
  <si>
    <t>Số công nhân trong dự án (công nhân)</t>
  </si>
  <si>
    <t xml:space="preserve">Tổng dân số được giải quyết  về nhà ở tại các KCN (người) </t>
  </si>
  <si>
    <t xml:space="preserve">UBND các huyện, thành phố có CCN, tổ chức xác định vị trí, lập quy hoạch chi tiết nhà ở xã hội dành cho công nhân các CCN cho phù hợp thuận lợi cho CN </t>
  </si>
  <si>
    <t xml:space="preserve">Đến năm 2025 giải quyết chỗ ở cho khoảng 339.000 công nhân (trong đó KCN 263.000 công nhân, CCN 76.000 công nhân </t>
  </si>
  <si>
    <t xml:space="preserve">Số công nhân đang thuê nhà trọ trong dân chiếm 24,4% tổng số công nhân </t>
  </si>
  <si>
    <t>Phụ lục 1: Nhu cầu ở của công nhân các Khu công nghiệp hiện trạng và dự báo đến năm 2025, đến năm 2030</t>
  </si>
  <si>
    <t>Phụ lục 3 Danh mục dự án, phạm vi phục vụ KCN</t>
  </si>
  <si>
    <t>Phụ lục 2: Phạm vi phục vụ theo thời gian thực hiện các dự án, dự kiến tổng kinh phí đến 2025 định hướng đến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</si>
</sst>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#,##0.000000000000_);\(#,##0.0000000000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sz val="13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name val="Times New Roman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7" fillId="0" borderId="0" xfId="0" applyFont="1" applyFill="1" applyBorder="1"/>
    <xf numFmtId="0" fontId="13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/>
    </xf>
    <xf numFmtId="166" fontId="15" fillId="0" borderId="7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3" fontId="15" fillId="0" borderId="8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 wrapText="1"/>
    </xf>
    <xf numFmtId="3" fontId="15" fillId="0" borderId="7" xfId="0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3" fontId="10" fillId="7" borderId="6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/>
    </xf>
    <xf numFmtId="3" fontId="15" fillId="7" borderId="6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left" vertical="top" wrapText="1"/>
    </xf>
    <xf numFmtId="3" fontId="15" fillId="0" borderId="7" xfId="0" applyNumberFormat="1" applyFont="1" applyFill="1" applyBorder="1" applyAlignment="1">
      <alignment horizontal="left" vertical="center" wrapText="1"/>
    </xf>
    <xf numFmtId="3" fontId="15" fillId="0" borderId="7" xfId="0" applyNumberFormat="1" applyFont="1" applyFill="1" applyBorder="1" applyAlignment="1">
      <alignment horizontal="left" vertical="center"/>
    </xf>
    <xf numFmtId="3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right" vertical="center"/>
    </xf>
    <xf numFmtId="3" fontId="15" fillId="0" borderId="9" xfId="0" applyNumberFormat="1" applyFont="1" applyFill="1" applyBorder="1" applyAlignment="1">
      <alignment horizontal="right" vertical="center"/>
    </xf>
    <xf numFmtId="0" fontId="3" fillId="0" borderId="1" xfId="0" applyFont="1" applyBorder="1"/>
    <xf numFmtId="3" fontId="10" fillId="7" borderId="5" xfId="0" applyNumberFormat="1" applyFont="1" applyFill="1" applyBorder="1" applyAlignment="1">
      <alignment horizontal="right" vertical="center"/>
    </xf>
    <xf numFmtId="3" fontId="10" fillId="7" borderId="1" xfId="0" applyNumberFormat="1" applyFont="1" applyFill="1" applyBorder="1" applyAlignment="1">
      <alignment horizontal="right" vertical="center"/>
    </xf>
    <xf numFmtId="0" fontId="6" fillId="0" borderId="5" xfId="0" applyFont="1" applyBorder="1"/>
    <xf numFmtId="3" fontId="16" fillId="0" borderId="7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3" fontId="4" fillId="0" borderId="1" xfId="0" applyNumberFormat="1" applyFont="1" applyBorder="1"/>
    <xf numFmtId="3" fontId="16" fillId="0" borderId="6" xfId="0" applyNumberFormat="1" applyFont="1" applyFill="1" applyBorder="1" applyAlignment="1">
      <alignment horizontal="right" vertical="center" wrapText="1"/>
    </xf>
    <xf numFmtId="3" fontId="15" fillId="0" borderId="11" xfId="0" applyNumberFormat="1" applyFont="1" applyFill="1" applyBorder="1" applyAlignment="1">
      <alignment horizontal="left" vertical="center"/>
    </xf>
    <xf numFmtId="3" fontId="10" fillId="7" borderId="6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 vertical="center"/>
    </xf>
    <xf numFmtId="165" fontId="8" fillId="0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64" fontId="17" fillId="0" borderId="13" xfId="1" applyNumberFormat="1" applyFont="1" applyFill="1" applyBorder="1" applyAlignment="1">
      <alignment horizontal="center" vertical="center"/>
    </xf>
    <xf numFmtId="37" fontId="17" fillId="0" borderId="13" xfId="1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165" fontId="8" fillId="0" borderId="14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0" fillId="0" borderId="4" xfId="0" applyBorder="1"/>
    <xf numFmtId="3" fontId="10" fillId="7" borderId="4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3" fillId="0" borderId="0" xfId="0" applyFont="1"/>
    <xf numFmtId="0" fontId="16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left" vertical="center" wrapText="1"/>
    </xf>
    <xf numFmtId="3" fontId="16" fillId="0" borderId="8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horizontal="right" vertical="center" wrapText="1"/>
    </xf>
    <xf numFmtId="3" fontId="16" fillId="7" borderId="1" xfId="0" applyNumberFormat="1" applyFont="1" applyFill="1" applyBorder="1" applyAlignment="1">
      <alignment horizontal="right" vertical="center" wrapText="1"/>
    </xf>
    <xf numFmtId="0" fontId="17" fillId="7" borderId="5" xfId="0" applyFont="1" applyFill="1" applyBorder="1" applyAlignment="1">
      <alignment horizontal="left" vertical="top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7" borderId="7" xfId="0" applyNumberFormat="1" applyFont="1" applyFill="1" applyBorder="1" applyAlignment="1">
      <alignment horizontal="right" vertical="center" wrapText="1"/>
    </xf>
    <xf numFmtId="3" fontId="16" fillId="7" borderId="8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/>
    <xf numFmtId="3" fontId="4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3" fillId="0" borderId="0" xfId="0" applyFont="1"/>
    <xf numFmtId="0" fontId="17" fillId="0" borderId="1" xfId="0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5" fontId="17" fillId="0" borderId="6" xfId="1" applyNumberFormat="1" applyFont="1" applyFill="1" applyBorder="1" applyAlignment="1">
      <alignment horizontal="right" vertical="center" wrapText="1"/>
    </xf>
    <xf numFmtId="165" fontId="17" fillId="0" borderId="6" xfId="1" applyNumberFormat="1" applyFont="1" applyFill="1" applyBorder="1" applyAlignment="1">
      <alignment horizontal="center" vertical="center" wrapText="1"/>
    </xf>
    <xf numFmtId="165" fontId="17" fillId="0" borderId="5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64" fontId="17" fillId="0" borderId="12" xfId="1" applyNumberFormat="1" applyFont="1" applyFill="1" applyBorder="1" applyAlignment="1">
      <alignment horizontal="center" vertical="center" wrapText="1"/>
    </xf>
    <xf numFmtId="37" fontId="17" fillId="0" borderId="12" xfId="1" applyNumberFormat="1" applyFont="1" applyFill="1" applyBorder="1" applyAlignment="1">
      <alignment horizontal="right" vertical="center" wrapText="1"/>
    </xf>
    <xf numFmtId="37" fontId="17" fillId="0" borderId="12" xfId="1" applyNumberFormat="1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center" vertical="center"/>
    </xf>
    <xf numFmtId="165" fontId="8" fillId="0" borderId="14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20" fillId="0" borderId="0" xfId="1" applyNumberFormat="1" applyFont="1"/>
    <xf numFmtId="0" fontId="20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164" fontId="13" fillId="0" borderId="0" xfId="1" applyNumberFormat="1" applyFont="1"/>
    <xf numFmtId="165" fontId="13" fillId="0" borderId="0" xfId="0" applyNumberFormat="1" applyFont="1"/>
    <xf numFmtId="164" fontId="13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9" fillId="0" borderId="0" xfId="0" applyFont="1"/>
    <xf numFmtId="3" fontId="22" fillId="0" borderId="0" xfId="0" applyNumberFormat="1" applyFont="1"/>
    <xf numFmtId="0" fontId="22" fillId="0" borderId="0" xfId="0" applyFont="1"/>
    <xf numFmtId="3" fontId="20" fillId="0" borderId="0" xfId="0" applyNumberFormat="1" applyFont="1"/>
    <xf numFmtId="3" fontId="20" fillId="3" borderId="0" xfId="0" applyNumberFormat="1" applyFont="1" applyFill="1"/>
    <xf numFmtId="0" fontId="20" fillId="3" borderId="0" xfId="0" applyFont="1" applyFill="1"/>
    <xf numFmtId="3" fontId="20" fillId="4" borderId="0" xfId="0" applyNumberFormat="1" applyFont="1" applyFill="1"/>
    <xf numFmtId="0" fontId="20" fillId="4" borderId="0" xfId="0" applyFont="1" applyFill="1"/>
    <xf numFmtId="0" fontId="20" fillId="5" borderId="0" xfId="0" applyFont="1" applyFill="1"/>
    <xf numFmtId="3" fontId="20" fillId="5" borderId="0" xfId="0" applyNumberFormat="1" applyFont="1" applyFill="1"/>
    <xf numFmtId="0" fontId="20" fillId="0" borderId="0" xfId="0" applyFont="1" applyFill="1"/>
    <xf numFmtId="0" fontId="20" fillId="8" borderId="0" xfId="0" applyFont="1" applyFill="1"/>
    <xf numFmtId="3" fontId="20" fillId="7" borderId="0" xfId="0" applyNumberFormat="1" applyFont="1" applyFill="1"/>
    <xf numFmtId="0" fontId="23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13" fillId="0" borderId="0" xfId="0" applyFont="1" applyFill="1" applyBorder="1"/>
    <xf numFmtId="0" fontId="8" fillId="0" borderId="0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0" fillId="0" borderId="0" xfId="0" applyFont="1" applyBorder="1"/>
    <xf numFmtId="0" fontId="20" fillId="0" borderId="0" xfId="0" applyFont="1" applyFill="1" applyBorder="1"/>
    <xf numFmtId="3" fontId="13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Fill="1"/>
    <xf numFmtId="0" fontId="13" fillId="0" borderId="0" xfId="0" applyFont="1" applyAlignment="1">
      <alignment vertical="top"/>
    </xf>
    <xf numFmtId="0" fontId="25" fillId="0" borderId="0" xfId="0" applyFont="1" applyAlignment="1">
      <alignment horizontal="left"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35"/>
  <sheetViews>
    <sheetView tabSelected="1" zoomScaleNormal="100" workbookViewId="0">
      <selection activeCell="E7" sqref="E7"/>
    </sheetView>
  </sheetViews>
  <sheetFormatPr defaultRowHeight="15" x14ac:dyDescent="0.25"/>
  <cols>
    <col min="1" max="1" width="4" style="137" customWidth="1"/>
    <col min="2" max="2" width="13.7109375" style="199" customWidth="1"/>
    <col min="3" max="3" width="7.7109375" style="137" customWidth="1"/>
    <col min="4" max="4" width="6.5703125" style="137" customWidth="1"/>
    <col min="5" max="5" width="5.85546875" style="137" customWidth="1"/>
    <col min="6" max="6" width="7.140625" style="137" customWidth="1"/>
    <col min="7" max="7" width="6.7109375" style="137" customWidth="1"/>
    <col min="8" max="8" width="7" style="137" customWidth="1"/>
    <col min="9" max="9" width="7.42578125" style="137" customWidth="1"/>
    <col min="10" max="10" width="8.5703125" style="137" customWidth="1"/>
    <col min="11" max="11" width="6.85546875" style="137" hidden="1" customWidth="1"/>
    <col min="12" max="12" width="6.7109375" style="137" hidden="1" customWidth="1"/>
    <col min="13" max="13" width="5.7109375" style="137" customWidth="1"/>
    <col min="14" max="14" width="7.7109375" style="137" customWidth="1"/>
    <col min="15" max="15" width="8" style="137" customWidth="1"/>
    <col min="16" max="16" width="8" style="137" hidden="1" customWidth="1"/>
    <col min="17" max="19" width="8" style="137" customWidth="1"/>
    <col min="20" max="20" width="7.140625" style="137" customWidth="1"/>
    <col min="21" max="21" width="8.140625" style="200" customWidth="1"/>
    <col min="22" max="16384" width="9.140625" style="137"/>
  </cols>
  <sheetData>
    <row r="1" spans="1:25" ht="24.75" customHeight="1" x14ac:dyDescent="0.25">
      <c r="A1" s="168" t="s">
        <v>261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25" s="169" customFormat="1" ht="38.25" customHeight="1" x14ac:dyDescent="0.25">
      <c r="A2" s="131" t="s">
        <v>12</v>
      </c>
      <c r="B2" s="131" t="s">
        <v>0</v>
      </c>
      <c r="C2" s="131" t="s">
        <v>30</v>
      </c>
      <c r="D2" s="131" t="s">
        <v>1</v>
      </c>
      <c r="E2" s="131"/>
      <c r="F2" s="131"/>
      <c r="G2" s="131"/>
      <c r="H2" s="131"/>
      <c r="I2" s="131"/>
      <c r="J2" s="131"/>
      <c r="K2" s="131"/>
      <c r="L2" s="131"/>
      <c r="M2" s="131" t="s">
        <v>196</v>
      </c>
      <c r="N2" s="131"/>
      <c r="O2" s="131"/>
      <c r="P2" s="131"/>
      <c r="Q2" s="131"/>
      <c r="R2" s="131"/>
      <c r="S2" s="131"/>
      <c r="T2" s="131"/>
      <c r="U2" s="131"/>
    </row>
    <row r="3" spans="1:25" s="169" customFormat="1" ht="170.25" customHeight="1" x14ac:dyDescent="0.25">
      <c r="A3" s="131"/>
      <c r="B3" s="131"/>
      <c r="C3" s="131"/>
      <c r="D3" s="130" t="s">
        <v>2</v>
      </c>
      <c r="E3" s="130" t="s">
        <v>3</v>
      </c>
      <c r="F3" s="130" t="s">
        <v>4</v>
      </c>
      <c r="G3" s="130" t="s">
        <v>39</v>
      </c>
      <c r="H3" s="130" t="s">
        <v>5</v>
      </c>
      <c r="I3" s="130" t="s">
        <v>199</v>
      </c>
      <c r="J3" s="130" t="s">
        <v>203</v>
      </c>
      <c r="K3" s="130" t="s">
        <v>35</v>
      </c>
      <c r="L3" s="130" t="s">
        <v>36</v>
      </c>
      <c r="M3" s="130" t="s">
        <v>2</v>
      </c>
      <c r="N3" s="130" t="s">
        <v>201</v>
      </c>
      <c r="O3" s="130" t="s">
        <v>202</v>
      </c>
      <c r="P3" s="130" t="s">
        <v>34</v>
      </c>
      <c r="Q3" s="130" t="s">
        <v>141</v>
      </c>
      <c r="R3" s="130" t="s">
        <v>137</v>
      </c>
      <c r="S3" s="130" t="s">
        <v>138</v>
      </c>
      <c r="T3" s="130" t="s">
        <v>46</v>
      </c>
      <c r="U3" s="130" t="s">
        <v>198</v>
      </c>
    </row>
    <row r="4" spans="1:25" ht="22.5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13</v>
      </c>
      <c r="M4" s="10">
        <v>11</v>
      </c>
      <c r="N4" s="10">
        <v>12</v>
      </c>
      <c r="O4" s="10">
        <v>13</v>
      </c>
      <c r="P4" s="10">
        <v>18</v>
      </c>
      <c r="Q4" s="9" t="s">
        <v>248</v>
      </c>
      <c r="R4" s="9" t="s">
        <v>249</v>
      </c>
      <c r="S4" s="9" t="s">
        <v>250</v>
      </c>
      <c r="T4" s="11" t="s">
        <v>251</v>
      </c>
      <c r="U4" s="9" t="s">
        <v>252</v>
      </c>
    </row>
    <row r="5" spans="1:25" x14ac:dyDescent="0.25">
      <c r="A5" s="10"/>
      <c r="B5" s="10"/>
      <c r="C5" s="10"/>
      <c r="D5" s="132" t="s">
        <v>197</v>
      </c>
      <c r="E5" s="133"/>
      <c r="F5" s="133"/>
      <c r="G5" s="133"/>
      <c r="H5" s="133"/>
      <c r="I5" s="133"/>
      <c r="J5" s="133"/>
      <c r="K5" s="10"/>
      <c r="L5" s="10"/>
      <c r="M5" s="132" t="s">
        <v>135</v>
      </c>
      <c r="N5" s="133"/>
      <c r="O5" s="133"/>
      <c r="P5" s="133"/>
      <c r="Q5" s="133"/>
      <c r="R5" s="133"/>
      <c r="S5" s="133"/>
      <c r="T5" s="133"/>
      <c r="U5" s="134"/>
    </row>
    <row r="6" spans="1:25" s="170" customFormat="1" x14ac:dyDescent="0.25">
      <c r="A6" s="32" t="s">
        <v>122</v>
      </c>
      <c r="B6" s="32" t="s">
        <v>135</v>
      </c>
      <c r="C6" s="32"/>
      <c r="D6" s="33">
        <f>D7+D22</f>
        <v>3796.46</v>
      </c>
      <c r="E6" s="33">
        <f>E7+E22</f>
        <v>1524.23424</v>
      </c>
      <c r="F6" s="33">
        <f>F7+F22</f>
        <v>205048</v>
      </c>
      <c r="G6" s="33"/>
      <c r="H6" s="33"/>
      <c r="I6" s="33"/>
      <c r="J6" s="33"/>
      <c r="K6" s="33">
        <f t="shared" ref="K6:U6" si="0">K7+K22</f>
        <v>99780</v>
      </c>
      <c r="L6" s="33">
        <f t="shared" si="0"/>
        <v>18618</v>
      </c>
      <c r="M6" s="34">
        <f t="shared" si="0"/>
        <v>3988.74</v>
      </c>
      <c r="N6" s="34">
        <f t="shared" si="0"/>
        <v>582666.19999999995</v>
      </c>
      <c r="O6" s="34">
        <f t="shared" si="0"/>
        <v>423683.02999999997</v>
      </c>
      <c r="P6" s="34">
        <f t="shared" si="0"/>
        <v>139000</v>
      </c>
      <c r="Q6" s="34">
        <f t="shared" si="0"/>
        <v>338746.424</v>
      </c>
      <c r="R6" s="34">
        <f t="shared" si="0"/>
        <v>203447.85440000001</v>
      </c>
      <c r="S6" s="34">
        <f t="shared" si="0"/>
        <v>135298.56959999999</v>
      </c>
      <c r="T6" s="34">
        <f t="shared" si="0"/>
        <v>270597.13919999998</v>
      </c>
      <c r="U6" s="34">
        <f t="shared" si="0"/>
        <v>474044.99360000005</v>
      </c>
    </row>
    <row r="7" spans="1:25" s="172" customFormat="1" ht="30" customHeight="1" x14ac:dyDescent="0.2">
      <c r="A7" s="35" t="s">
        <v>14</v>
      </c>
      <c r="B7" s="36" t="s">
        <v>6</v>
      </c>
      <c r="C7" s="36"/>
      <c r="D7" s="81">
        <f>SUM(D8:D21)</f>
        <v>2427.3000000000002</v>
      </c>
      <c r="E7" s="35">
        <f>D8+(D9*E9)/100+D11+D16*E16/100+D13*E13/100</f>
        <v>1122.72</v>
      </c>
      <c r="F7" s="37">
        <f>ROUND(SUM(F8:F14),-3)</f>
        <v>164000</v>
      </c>
      <c r="G7" s="37">
        <f>ROUND((F7*0.65),-3)</f>
        <v>107000</v>
      </c>
      <c r="H7" s="37">
        <f>ROUND(SUM(H8:H14),-3)</f>
        <v>50000</v>
      </c>
      <c r="I7" s="37">
        <f>ROUND(SUM(I8:I14),-1)</f>
        <v>64200</v>
      </c>
      <c r="J7" s="37">
        <f>ROUND(SUM(J8:J14),-1)</f>
        <v>42800</v>
      </c>
      <c r="K7" s="37">
        <f>ROUND(SUM(K8:K14),-1)</f>
        <v>99780</v>
      </c>
      <c r="L7" s="37">
        <f>L8+L9+L11+L16+L13</f>
        <v>18618</v>
      </c>
      <c r="M7" s="38">
        <f>SUM(M8:M21)</f>
        <v>2553.9</v>
      </c>
      <c r="N7" s="38">
        <f>ROUND(SUM(N8:N21),-3)</f>
        <v>437000</v>
      </c>
      <c r="O7" s="38">
        <f>ROUND(SUM(O8:O21),-3)</f>
        <v>329000</v>
      </c>
      <c r="P7" s="38">
        <f t="shared" ref="P7" si="1">ROUND(SUM(P8:P20),-3)</f>
        <v>139000</v>
      </c>
      <c r="Q7" s="38">
        <f>ROUND(SUM(Q8:Q21),-3)</f>
        <v>263000</v>
      </c>
      <c r="R7" s="38">
        <f t="shared" ref="R7:U7" si="2">ROUND(SUM(R8:R21),-3)</f>
        <v>158000</v>
      </c>
      <c r="S7" s="38">
        <f t="shared" si="2"/>
        <v>105000</v>
      </c>
      <c r="T7" s="38">
        <f t="shared" si="2"/>
        <v>210000</v>
      </c>
      <c r="U7" s="38">
        <f t="shared" si="2"/>
        <v>368000</v>
      </c>
      <c r="V7" s="171"/>
      <c r="W7" s="171"/>
    </row>
    <row r="8" spans="1:25" s="162" customFormat="1" ht="12.75" x14ac:dyDescent="0.2">
      <c r="A8" s="12">
        <v>1</v>
      </c>
      <c r="B8" s="20" t="s">
        <v>7</v>
      </c>
      <c r="C8" s="12" t="s">
        <v>31</v>
      </c>
      <c r="D8" s="82">
        <v>127</v>
      </c>
      <c r="E8" s="12">
        <v>100</v>
      </c>
      <c r="F8" s="24">
        <v>21914</v>
      </c>
      <c r="G8" s="24">
        <f t="shared" ref="G8:G14" si="3">ROUND((F8*0.65),-3)</f>
        <v>14000</v>
      </c>
      <c r="H8" s="24">
        <v>5933</v>
      </c>
      <c r="I8" s="24">
        <f>G8*0.6</f>
        <v>8400</v>
      </c>
      <c r="J8" s="24">
        <f>G8*0.4</f>
        <v>5600</v>
      </c>
      <c r="K8" s="14">
        <f>+F8*0.61</f>
        <v>13367.539999999999</v>
      </c>
      <c r="L8" s="14">
        <f>+I8*0.29</f>
        <v>2436</v>
      </c>
      <c r="M8" s="23">
        <v>127</v>
      </c>
      <c r="N8" s="24">
        <v>23878</v>
      </c>
      <c r="O8" s="24">
        <f>ROUND((N8*0.75),-3)</f>
        <v>18000</v>
      </c>
      <c r="P8" s="24">
        <f>ROUND((O8*0.65),-3)</f>
        <v>12000</v>
      </c>
      <c r="Q8" s="24">
        <f>ROUND((O8*0.8),-3)</f>
        <v>14000</v>
      </c>
      <c r="R8" s="24">
        <f>Q8*0.6</f>
        <v>8400</v>
      </c>
      <c r="S8" s="24">
        <f>Q8*0.4</f>
        <v>5600</v>
      </c>
      <c r="T8" s="24">
        <f>S8*2</f>
        <v>11200</v>
      </c>
      <c r="U8" s="24">
        <f>R8+T8</f>
        <v>19600</v>
      </c>
    </row>
    <row r="9" spans="1:25" s="162" customFormat="1" ht="12.75" x14ac:dyDescent="0.2">
      <c r="A9" s="12">
        <v>2</v>
      </c>
      <c r="B9" s="20" t="s">
        <v>8</v>
      </c>
      <c r="C9" s="12" t="s">
        <v>31</v>
      </c>
      <c r="D9" s="82">
        <v>426</v>
      </c>
      <c r="E9" s="12">
        <v>92</v>
      </c>
      <c r="F9" s="24">
        <v>47091</v>
      </c>
      <c r="G9" s="24">
        <f t="shared" si="3"/>
        <v>31000</v>
      </c>
      <c r="H9" s="24">
        <v>12918</v>
      </c>
      <c r="I9" s="24">
        <f t="shared" ref="I9:I16" si="4">G9*0.6</f>
        <v>18600</v>
      </c>
      <c r="J9" s="24">
        <f t="shared" ref="J9:J16" si="5">G9*0.4</f>
        <v>12400</v>
      </c>
      <c r="K9" s="14">
        <f>+F9*0.61</f>
        <v>28725.51</v>
      </c>
      <c r="L9" s="14">
        <f>+I9*0.29</f>
        <v>5394</v>
      </c>
      <c r="M9" s="23">
        <v>426</v>
      </c>
      <c r="N9" s="24">
        <f>M9*160</f>
        <v>68160</v>
      </c>
      <c r="O9" s="24">
        <f t="shared" ref="O9:O20" si="6">ROUND((N9*0.75),-3)</f>
        <v>51000</v>
      </c>
      <c r="P9" s="24">
        <f t="shared" ref="P9:P14" si="7">ROUND((O9*0.65),-3)</f>
        <v>33000</v>
      </c>
      <c r="Q9" s="24">
        <f t="shared" ref="Q9:Q20" si="8">ROUND((O9*0.8),-3)</f>
        <v>41000</v>
      </c>
      <c r="R9" s="24">
        <f t="shared" ref="R9:R20" si="9">Q9*0.6</f>
        <v>24600</v>
      </c>
      <c r="S9" s="24">
        <f t="shared" ref="S9:S20" si="10">Q9*0.4</f>
        <v>16400</v>
      </c>
      <c r="T9" s="24">
        <f t="shared" ref="T9:T20" si="11">S9*2</f>
        <v>32800</v>
      </c>
      <c r="U9" s="24">
        <f t="shared" ref="U9:U20" si="12">R9+T9</f>
        <v>57400</v>
      </c>
    </row>
    <row r="10" spans="1:25" s="162" customFormat="1" ht="24" x14ac:dyDescent="0.2">
      <c r="A10" s="12"/>
      <c r="B10" s="60" t="s">
        <v>158</v>
      </c>
      <c r="C10" s="24" t="s">
        <v>31</v>
      </c>
      <c r="D10" s="83">
        <v>90</v>
      </c>
      <c r="E10" s="24"/>
      <c r="F10" s="24"/>
      <c r="G10" s="24"/>
      <c r="H10" s="24"/>
      <c r="I10" s="24">
        <f t="shared" si="4"/>
        <v>0</v>
      </c>
      <c r="J10" s="24">
        <f t="shared" si="5"/>
        <v>0</v>
      </c>
      <c r="K10" s="24"/>
      <c r="L10" s="24"/>
      <c r="M10" s="24">
        <v>90</v>
      </c>
      <c r="N10" s="24">
        <f t="shared" ref="N10:N20" si="13">M10*160</f>
        <v>14400</v>
      </c>
      <c r="O10" s="24">
        <f t="shared" si="6"/>
        <v>11000</v>
      </c>
      <c r="P10" s="24">
        <f t="shared" si="7"/>
        <v>7000</v>
      </c>
      <c r="Q10" s="24">
        <f t="shared" si="8"/>
        <v>9000</v>
      </c>
      <c r="R10" s="24">
        <f t="shared" si="9"/>
        <v>5400</v>
      </c>
      <c r="S10" s="24">
        <f t="shared" si="10"/>
        <v>3600</v>
      </c>
      <c r="T10" s="24">
        <f t="shared" si="11"/>
        <v>7200</v>
      </c>
      <c r="U10" s="24">
        <f t="shared" si="12"/>
        <v>12600</v>
      </c>
    </row>
    <row r="11" spans="1:25" s="162" customFormat="1" ht="12.75" x14ac:dyDescent="0.2">
      <c r="A11" s="12">
        <v>3</v>
      </c>
      <c r="B11" s="20" t="s">
        <v>9</v>
      </c>
      <c r="C11" s="12" t="s">
        <v>31</v>
      </c>
      <c r="D11" s="82">
        <v>351</v>
      </c>
      <c r="E11" s="12">
        <v>100</v>
      </c>
      <c r="F11" s="24">
        <v>81305</v>
      </c>
      <c r="G11" s="24">
        <f t="shared" si="3"/>
        <v>53000</v>
      </c>
      <c r="H11" s="24">
        <v>29253</v>
      </c>
      <c r="I11" s="24">
        <f t="shared" si="4"/>
        <v>31800</v>
      </c>
      <c r="J11" s="24">
        <f t="shared" si="5"/>
        <v>21200</v>
      </c>
      <c r="K11" s="14">
        <f>+F11*0.61</f>
        <v>49596.049999999996</v>
      </c>
      <c r="L11" s="14">
        <f>+I11*0.29</f>
        <v>9222</v>
      </c>
      <c r="M11" s="23">
        <v>351</v>
      </c>
      <c r="N11" s="24">
        <f>F11</f>
        <v>81305</v>
      </c>
      <c r="O11" s="24">
        <f t="shared" si="6"/>
        <v>61000</v>
      </c>
      <c r="P11" s="24">
        <f t="shared" si="7"/>
        <v>40000</v>
      </c>
      <c r="Q11" s="24">
        <f t="shared" si="8"/>
        <v>49000</v>
      </c>
      <c r="R11" s="24">
        <f t="shared" si="9"/>
        <v>29400</v>
      </c>
      <c r="S11" s="24">
        <f t="shared" si="10"/>
        <v>19600</v>
      </c>
      <c r="T11" s="24">
        <f t="shared" si="11"/>
        <v>39200</v>
      </c>
      <c r="U11" s="24">
        <f t="shared" si="12"/>
        <v>68600</v>
      </c>
    </row>
    <row r="12" spans="1:25" s="162" customFormat="1" ht="24" x14ac:dyDescent="0.2">
      <c r="A12" s="12"/>
      <c r="B12" s="21" t="s">
        <v>166</v>
      </c>
      <c r="C12" s="12"/>
      <c r="D12" s="82"/>
      <c r="E12" s="12"/>
      <c r="F12" s="24"/>
      <c r="G12" s="24"/>
      <c r="H12" s="24"/>
      <c r="I12" s="24">
        <f t="shared" si="4"/>
        <v>0</v>
      </c>
      <c r="J12" s="24">
        <f t="shared" si="5"/>
        <v>0</v>
      </c>
      <c r="K12" s="14"/>
      <c r="L12" s="14"/>
      <c r="M12" s="23">
        <v>37.5</v>
      </c>
      <c r="N12" s="24">
        <f>M12*160</f>
        <v>6000</v>
      </c>
      <c r="O12" s="24">
        <f t="shared" ref="O12" si="14">N12*0.75</f>
        <v>4500</v>
      </c>
      <c r="P12" s="23"/>
      <c r="Q12" s="24">
        <f t="shared" ref="Q12" si="15">O12*0.9</f>
        <v>4050</v>
      </c>
      <c r="R12" s="24">
        <f t="shared" si="9"/>
        <v>2430</v>
      </c>
      <c r="S12" s="24">
        <f t="shared" si="10"/>
        <v>1620</v>
      </c>
      <c r="T12" s="24">
        <f t="shared" si="11"/>
        <v>3240</v>
      </c>
      <c r="U12" s="24">
        <f t="shared" si="12"/>
        <v>5670</v>
      </c>
    </row>
    <row r="13" spans="1:25" s="162" customFormat="1" ht="24" x14ac:dyDescent="0.2">
      <c r="A13" s="12">
        <v>4</v>
      </c>
      <c r="B13" s="21" t="s">
        <v>10</v>
      </c>
      <c r="C13" s="13" t="s">
        <v>33</v>
      </c>
      <c r="D13" s="82">
        <v>160</v>
      </c>
      <c r="E13" s="12">
        <v>93</v>
      </c>
      <c r="F13" s="24">
        <v>13263</v>
      </c>
      <c r="G13" s="24">
        <f t="shared" si="3"/>
        <v>9000</v>
      </c>
      <c r="H13" s="24">
        <v>1829</v>
      </c>
      <c r="I13" s="24">
        <f t="shared" si="4"/>
        <v>5400</v>
      </c>
      <c r="J13" s="24">
        <f t="shared" si="5"/>
        <v>3600</v>
      </c>
      <c r="K13" s="14">
        <f>+F13*0.61</f>
        <v>8090.4299999999994</v>
      </c>
      <c r="L13" s="14">
        <f>+I13*0.29</f>
        <v>1566</v>
      </c>
      <c r="M13" s="23">
        <v>160</v>
      </c>
      <c r="N13" s="24">
        <f t="shared" si="13"/>
        <v>25600</v>
      </c>
      <c r="O13" s="24">
        <f t="shared" si="6"/>
        <v>19000</v>
      </c>
      <c r="P13" s="24">
        <f t="shared" si="7"/>
        <v>12000</v>
      </c>
      <c r="Q13" s="24">
        <f t="shared" si="8"/>
        <v>15000</v>
      </c>
      <c r="R13" s="24">
        <f t="shared" si="9"/>
        <v>9000</v>
      </c>
      <c r="S13" s="24">
        <f t="shared" si="10"/>
        <v>6000</v>
      </c>
      <c r="T13" s="24">
        <f t="shared" si="11"/>
        <v>12000</v>
      </c>
      <c r="U13" s="24">
        <f t="shared" si="12"/>
        <v>21000</v>
      </c>
      <c r="Y13" s="173"/>
    </row>
    <row r="14" spans="1:25" s="162" customFormat="1" ht="12.75" x14ac:dyDescent="0.2">
      <c r="A14" s="12">
        <v>5</v>
      </c>
      <c r="B14" s="20" t="s">
        <v>11</v>
      </c>
      <c r="C14" s="12" t="s">
        <v>31</v>
      </c>
      <c r="D14" s="82">
        <v>198</v>
      </c>
      <c r="E14" s="12">
        <v>0</v>
      </c>
      <c r="F14" s="12">
        <v>0</v>
      </c>
      <c r="G14" s="24">
        <f t="shared" si="3"/>
        <v>0</v>
      </c>
      <c r="H14" s="24">
        <v>0</v>
      </c>
      <c r="I14" s="24">
        <f t="shared" si="4"/>
        <v>0</v>
      </c>
      <c r="J14" s="24">
        <f t="shared" si="5"/>
        <v>0</v>
      </c>
      <c r="K14" s="12">
        <v>0</v>
      </c>
      <c r="L14" s="12">
        <v>0</v>
      </c>
      <c r="M14" s="23">
        <v>198</v>
      </c>
      <c r="N14" s="24">
        <f t="shared" si="13"/>
        <v>31680</v>
      </c>
      <c r="O14" s="24">
        <f t="shared" si="6"/>
        <v>24000</v>
      </c>
      <c r="P14" s="24">
        <f t="shared" si="7"/>
        <v>16000</v>
      </c>
      <c r="Q14" s="24">
        <f t="shared" si="8"/>
        <v>19000</v>
      </c>
      <c r="R14" s="24">
        <f t="shared" si="9"/>
        <v>11400</v>
      </c>
      <c r="S14" s="24">
        <f t="shared" si="10"/>
        <v>7600</v>
      </c>
      <c r="T14" s="24">
        <f t="shared" si="11"/>
        <v>15200</v>
      </c>
      <c r="U14" s="24">
        <f t="shared" si="12"/>
        <v>26600</v>
      </c>
    </row>
    <row r="15" spans="1:25" s="162" customFormat="1" ht="48" x14ac:dyDescent="0.2">
      <c r="A15" s="12"/>
      <c r="B15" s="59" t="s">
        <v>157</v>
      </c>
      <c r="C15" s="24" t="s">
        <v>31</v>
      </c>
      <c r="D15" s="83"/>
      <c r="E15" s="24"/>
      <c r="F15" s="24"/>
      <c r="G15" s="24"/>
      <c r="H15" s="24"/>
      <c r="I15" s="24">
        <f t="shared" si="4"/>
        <v>0</v>
      </c>
      <c r="J15" s="24">
        <f t="shared" si="5"/>
        <v>0</v>
      </c>
      <c r="K15" s="24"/>
      <c r="L15" s="24"/>
      <c r="M15" s="24">
        <v>40</v>
      </c>
      <c r="N15" s="24">
        <f t="shared" si="13"/>
        <v>6400</v>
      </c>
      <c r="O15" s="24">
        <f t="shared" si="6"/>
        <v>5000</v>
      </c>
      <c r="P15" s="24">
        <f t="shared" ref="P15" si="16">ROUND((O15*0.65),-3)</f>
        <v>3000</v>
      </c>
      <c r="Q15" s="24">
        <f t="shared" si="8"/>
        <v>4000</v>
      </c>
      <c r="R15" s="24">
        <f>Q15*0.6</f>
        <v>2400</v>
      </c>
      <c r="S15" s="24">
        <f>Q15*0.4</f>
        <v>1600</v>
      </c>
      <c r="T15" s="24">
        <f>S15*2</f>
        <v>3200</v>
      </c>
      <c r="U15" s="24">
        <f>R15+T15</f>
        <v>5600</v>
      </c>
    </row>
    <row r="16" spans="1:25" s="162" customFormat="1" ht="12.75" x14ac:dyDescent="0.2">
      <c r="A16" s="12">
        <v>6</v>
      </c>
      <c r="B16" s="20" t="s">
        <v>16</v>
      </c>
      <c r="C16" s="12" t="s">
        <v>32</v>
      </c>
      <c r="D16" s="82">
        <v>208</v>
      </c>
      <c r="E16" s="12">
        <v>50</v>
      </c>
      <c r="F16" s="12">
        <v>104</v>
      </c>
      <c r="G16" s="14">
        <f>ROUND((F16*0.65),-3)</f>
        <v>0</v>
      </c>
      <c r="H16" s="24">
        <v>0</v>
      </c>
      <c r="I16" s="24">
        <f t="shared" si="4"/>
        <v>0</v>
      </c>
      <c r="J16" s="24">
        <f t="shared" si="5"/>
        <v>0</v>
      </c>
      <c r="K16" s="14">
        <f>+F16*0.61</f>
        <v>63.44</v>
      </c>
      <c r="L16" s="14">
        <f>+I16*0.29</f>
        <v>0</v>
      </c>
      <c r="M16" s="23">
        <v>207.4</v>
      </c>
      <c r="N16" s="24">
        <f t="shared" si="13"/>
        <v>33184</v>
      </c>
      <c r="O16" s="24">
        <f t="shared" si="6"/>
        <v>25000</v>
      </c>
      <c r="P16" s="24">
        <f>ROUND((O16*0.65),-3)</f>
        <v>16000</v>
      </c>
      <c r="Q16" s="24">
        <f t="shared" si="8"/>
        <v>20000</v>
      </c>
      <c r="R16" s="24">
        <f>Q16*0.6</f>
        <v>12000</v>
      </c>
      <c r="S16" s="24">
        <f>Q16*0.4</f>
        <v>8000</v>
      </c>
      <c r="T16" s="24">
        <f>S16*2</f>
        <v>16000</v>
      </c>
      <c r="U16" s="24">
        <f>R16+T16</f>
        <v>28000</v>
      </c>
    </row>
    <row r="17" spans="1:30" s="162" customFormat="1" ht="12.75" x14ac:dyDescent="0.2">
      <c r="A17" s="12"/>
      <c r="B17" s="55" t="s">
        <v>156</v>
      </c>
      <c r="C17" s="56" t="s">
        <v>41</v>
      </c>
      <c r="D17" s="84">
        <v>85</v>
      </c>
      <c r="E17" s="53"/>
      <c r="F17" s="57"/>
      <c r="G17" s="53"/>
      <c r="H17" s="53"/>
      <c r="I17" s="53"/>
      <c r="J17" s="53"/>
      <c r="K17" s="53"/>
      <c r="L17" s="53"/>
      <c r="M17" s="54">
        <v>85</v>
      </c>
      <c r="N17" s="24">
        <f t="shared" si="13"/>
        <v>13600</v>
      </c>
      <c r="O17" s="24">
        <f t="shared" si="6"/>
        <v>10000</v>
      </c>
      <c r="P17" s="54"/>
      <c r="Q17" s="24">
        <f t="shared" si="8"/>
        <v>8000</v>
      </c>
      <c r="R17" s="58">
        <f>Q17*0.6</f>
        <v>4800</v>
      </c>
      <c r="S17" s="58">
        <f>Q17*0.4</f>
        <v>3200</v>
      </c>
      <c r="T17" s="58">
        <f>S17*2</f>
        <v>6400</v>
      </c>
      <c r="U17" s="58">
        <f>R17+T17</f>
        <v>11200</v>
      </c>
    </row>
    <row r="18" spans="1:30" s="162" customFormat="1" ht="12.75" x14ac:dyDescent="0.2">
      <c r="A18" s="12">
        <v>7</v>
      </c>
      <c r="B18" s="20" t="s">
        <v>43</v>
      </c>
      <c r="C18" s="12" t="s">
        <v>40</v>
      </c>
      <c r="D18" s="82">
        <v>377</v>
      </c>
      <c r="E18" s="12"/>
      <c r="F18" s="12"/>
      <c r="G18" s="12"/>
      <c r="H18" s="12"/>
      <c r="I18" s="12"/>
      <c r="J18" s="12"/>
      <c r="K18" s="12"/>
      <c r="L18" s="12"/>
      <c r="M18" s="23">
        <v>377</v>
      </c>
      <c r="N18" s="24">
        <f t="shared" si="13"/>
        <v>60320</v>
      </c>
      <c r="O18" s="24">
        <f t="shared" si="6"/>
        <v>45000</v>
      </c>
      <c r="P18" s="23"/>
      <c r="Q18" s="24">
        <f t="shared" si="8"/>
        <v>36000</v>
      </c>
      <c r="R18" s="24">
        <f t="shared" si="9"/>
        <v>21600</v>
      </c>
      <c r="S18" s="24">
        <f t="shared" si="10"/>
        <v>14400</v>
      </c>
      <c r="T18" s="24">
        <f t="shared" si="11"/>
        <v>28800</v>
      </c>
      <c r="U18" s="24">
        <f t="shared" si="12"/>
        <v>50400</v>
      </c>
      <c r="W18" s="24"/>
      <c r="X18" s="24"/>
      <c r="Y18" s="24"/>
      <c r="Z18" s="24"/>
      <c r="AA18" s="24"/>
      <c r="AB18" s="24"/>
      <c r="AC18" s="24"/>
      <c r="AD18" s="24"/>
    </row>
    <row r="19" spans="1:30" s="162" customFormat="1" ht="12" customHeight="1" x14ac:dyDescent="0.2">
      <c r="A19" s="14">
        <v>8</v>
      </c>
      <c r="B19" s="20" t="s">
        <v>148</v>
      </c>
      <c r="C19" s="20" t="s">
        <v>45</v>
      </c>
      <c r="D19" s="83">
        <v>300</v>
      </c>
      <c r="E19" s="24"/>
      <c r="F19" s="24"/>
      <c r="G19" s="24"/>
      <c r="H19" s="24"/>
      <c r="I19" s="24"/>
      <c r="J19" s="24"/>
      <c r="K19" s="24"/>
      <c r="L19" s="24"/>
      <c r="M19" s="24">
        <v>300</v>
      </c>
      <c r="N19" s="24">
        <f t="shared" si="13"/>
        <v>48000</v>
      </c>
      <c r="O19" s="24">
        <f t="shared" si="6"/>
        <v>36000</v>
      </c>
      <c r="P19" s="24"/>
      <c r="Q19" s="24">
        <f t="shared" si="8"/>
        <v>29000</v>
      </c>
      <c r="R19" s="24">
        <f t="shared" si="9"/>
        <v>17400</v>
      </c>
      <c r="S19" s="24">
        <f t="shared" si="10"/>
        <v>11600</v>
      </c>
      <c r="T19" s="24">
        <f t="shared" si="11"/>
        <v>23200</v>
      </c>
      <c r="U19" s="24">
        <f t="shared" si="12"/>
        <v>40600</v>
      </c>
    </row>
    <row r="20" spans="1:30" s="162" customFormat="1" ht="18.75" customHeight="1" x14ac:dyDescent="0.2">
      <c r="A20" s="14">
        <v>9</v>
      </c>
      <c r="B20" s="20" t="s">
        <v>58</v>
      </c>
      <c r="C20" s="61" t="s">
        <v>56</v>
      </c>
      <c r="D20" s="83">
        <v>105.3</v>
      </c>
      <c r="E20" s="24"/>
      <c r="F20" s="24"/>
      <c r="G20" s="24"/>
      <c r="H20" s="24"/>
      <c r="I20" s="24"/>
      <c r="J20" s="24"/>
      <c r="K20" s="24"/>
      <c r="L20" s="24"/>
      <c r="M20" s="24">
        <v>105</v>
      </c>
      <c r="N20" s="24">
        <f t="shared" si="13"/>
        <v>16800</v>
      </c>
      <c r="O20" s="24">
        <f t="shared" si="6"/>
        <v>13000</v>
      </c>
      <c r="P20" s="24"/>
      <c r="Q20" s="24">
        <f t="shared" si="8"/>
        <v>10000</v>
      </c>
      <c r="R20" s="24">
        <f t="shared" si="9"/>
        <v>6000</v>
      </c>
      <c r="S20" s="24">
        <f t="shared" si="10"/>
        <v>4000</v>
      </c>
      <c r="T20" s="24">
        <f t="shared" si="11"/>
        <v>8000</v>
      </c>
      <c r="U20" s="24">
        <f t="shared" si="12"/>
        <v>14000</v>
      </c>
    </row>
    <row r="21" spans="1:30" s="162" customFormat="1" ht="23.25" customHeight="1" x14ac:dyDescent="0.2">
      <c r="A21" s="62"/>
      <c r="B21" s="86" t="s">
        <v>200</v>
      </c>
      <c r="C21" s="80"/>
      <c r="D21" s="85"/>
      <c r="E21" s="58"/>
      <c r="F21" s="58"/>
      <c r="G21" s="58"/>
      <c r="H21" s="58"/>
      <c r="I21" s="58"/>
      <c r="J21" s="58"/>
      <c r="K21" s="58"/>
      <c r="L21" s="58"/>
      <c r="M21" s="58">
        <v>50</v>
      </c>
      <c r="N21" s="24">
        <f t="shared" ref="N21" si="17">M21*160</f>
        <v>8000</v>
      </c>
      <c r="O21" s="24">
        <f t="shared" ref="O21" si="18">ROUND((N21*0.75),-3)</f>
        <v>6000</v>
      </c>
      <c r="P21" s="24"/>
      <c r="Q21" s="24">
        <f t="shared" ref="Q21" si="19">ROUND((O21*0.8),-3)</f>
        <v>5000</v>
      </c>
      <c r="R21" s="24">
        <f t="shared" ref="R21" si="20">Q21*0.6</f>
        <v>3000</v>
      </c>
      <c r="S21" s="24">
        <f t="shared" ref="S21" si="21">Q21*0.4</f>
        <v>2000</v>
      </c>
      <c r="T21" s="24">
        <f t="shared" ref="T21" si="22">S21*2</f>
        <v>4000</v>
      </c>
      <c r="U21" s="24">
        <f t="shared" ref="U21" si="23">R21+T21</f>
        <v>7000</v>
      </c>
    </row>
    <row r="22" spans="1:30" s="175" customFormat="1" ht="12.75" x14ac:dyDescent="0.2">
      <c r="A22" s="35" t="s">
        <v>15</v>
      </c>
      <c r="B22" s="36" t="s">
        <v>60</v>
      </c>
      <c r="C22" s="35"/>
      <c r="D22" s="37">
        <f>SUM(D23:D59)</f>
        <v>1369.1599999999999</v>
      </c>
      <c r="E22" s="37">
        <f>D23+D24+D25+D26+D27*E27/100+D28*E28/100+D29*E29/100+D30+D31*E31/100+D32+D33*E33/100+D40*E40/100+D42+D43*E43/100+D44+D45+D46+D47+D48*E48/100+D50+D51*E51/100+D52+D53+D58*E58/100</f>
        <v>401.51424000000003</v>
      </c>
      <c r="F22" s="37">
        <f t="shared" ref="F22:U22" si="24">SUM(F23:F59)</f>
        <v>41048</v>
      </c>
      <c r="G22" s="37">
        <f t="shared" si="24"/>
        <v>0</v>
      </c>
      <c r="H22" s="37">
        <f t="shared" si="24"/>
        <v>0</v>
      </c>
      <c r="I22" s="37">
        <f t="shared" si="24"/>
        <v>0</v>
      </c>
      <c r="J22" s="37">
        <f t="shared" si="24"/>
        <v>0</v>
      </c>
      <c r="K22" s="37">
        <f t="shared" si="24"/>
        <v>0</v>
      </c>
      <c r="L22" s="37">
        <f t="shared" si="24"/>
        <v>0</v>
      </c>
      <c r="M22" s="38">
        <f t="shared" si="24"/>
        <v>1434.8399999999997</v>
      </c>
      <c r="N22" s="38">
        <f t="shared" si="24"/>
        <v>145666.19999999998</v>
      </c>
      <c r="O22" s="38">
        <f t="shared" si="24"/>
        <v>94683.029999999984</v>
      </c>
      <c r="P22" s="38">
        <f t="shared" si="24"/>
        <v>0</v>
      </c>
      <c r="Q22" s="38">
        <f t="shared" si="24"/>
        <v>75746.423999999999</v>
      </c>
      <c r="R22" s="38">
        <f t="shared" si="24"/>
        <v>45447.854400000011</v>
      </c>
      <c r="S22" s="38">
        <f t="shared" si="24"/>
        <v>30298.569599999995</v>
      </c>
      <c r="T22" s="38">
        <f t="shared" si="24"/>
        <v>60597.139199999991</v>
      </c>
      <c r="U22" s="38">
        <f t="shared" si="24"/>
        <v>106044.99360000002</v>
      </c>
      <c r="V22" s="174"/>
    </row>
    <row r="23" spans="1:30" s="175" customFormat="1" ht="24" x14ac:dyDescent="0.2">
      <c r="A23" s="12">
        <v>1</v>
      </c>
      <c r="B23" s="21" t="s">
        <v>61</v>
      </c>
      <c r="C23" s="13" t="s">
        <v>33</v>
      </c>
      <c r="D23" s="13">
        <v>4.0599999999999996</v>
      </c>
      <c r="E23" s="12">
        <v>100</v>
      </c>
      <c r="F23" s="14">
        <v>226</v>
      </c>
      <c r="G23" s="12"/>
      <c r="H23" s="12"/>
      <c r="I23" s="12"/>
      <c r="J23" s="12"/>
      <c r="K23" s="12"/>
      <c r="L23" s="12"/>
      <c r="M23" s="23"/>
      <c r="N23" s="24"/>
      <c r="O23" s="24"/>
      <c r="P23" s="24"/>
      <c r="Q23" s="24"/>
      <c r="R23" s="24"/>
      <c r="S23" s="24"/>
      <c r="T23" s="24"/>
      <c r="U23" s="24"/>
    </row>
    <row r="24" spans="1:30" s="175" customFormat="1" ht="24" x14ac:dyDescent="0.2">
      <c r="A24" s="12">
        <v>2</v>
      </c>
      <c r="B24" s="21" t="s">
        <v>62</v>
      </c>
      <c r="C24" s="13" t="s">
        <v>63</v>
      </c>
      <c r="D24" s="13">
        <v>10.37</v>
      </c>
      <c r="E24" s="12">
        <v>100</v>
      </c>
      <c r="F24" s="14">
        <v>115</v>
      </c>
      <c r="G24" s="12"/>
      <c r="H24" s="12"/>
      <c r="I24" s="12"/>
      <c r="J24" s="12"/>
      <c r="K24" s="12"/>
      <c r="L24" s="12"/>
      <c r="M24" s="23"/>
      <c r="N24" s="24"/>
      <c r="O24" s="24"/>
      <c r="P24" s="24"/>
      <c r="Q24" s="24"/>
      <c r="R24" s="24"/>
      <c r="S24" s="24"/>
      <c r="T24" s="24"/>
      <c r="U24" s="24"/>
    </row>
    <row r="25" spans="1:30" s="175" customFormat="1" ht="24" x14ac:dyDescent="0.2">
      <c r="A25" s="12">
        <v>3</v>
      </c>
      <c r="B25" s="21" t="s">
        <v>64</v>
      </c>
      <c r="C25" s="13" t="s">
        <v>63</v>
      </c>
      <c r="D25" s="13">
        <v>12.05</v>
      </c>
      <c r="E25" s="12">
        <v>100</v>
      </c>
      <c r="F25" s="14">
        <v>345</v>
      </c>
      <c r="G25" s="12"/>
      <c r="H25" s="12"/>
      <c r="I25" s="12"/>
      <c r="J25" s="12"/>
      <c r="K25" s="12"/>
      <c r="L25" s="12"/>
      <c r="M25" s="23">
        <f>D25</f>
        <v>12.05</v>
      </c>
      <c r="N25" s="24">
        <f>D25*105</f>
        <v>1265.25</v>
      </c>
      <c r="O25" s="24">
        <f t="shared" ref="O25:O59" si="25">N25*0.65</f>
        <v>822.41250000000002</v>
      </c>
      <c r="P25" s="24"/>
      <c r="Q25" s="24">
        <f t="shared" ref="Q25:Q59" si="26">O25*0.8</f>
        <v>657.93000000000006</v>
      </c>
      <c r="R25" s="24">
        <f t="shared" ref="R25:R59" si="27">Q25*0.6</f>
        <v>394.75800000000004</v>
      </c>
      <c r="S25" s="24">
        <f t="shared" ref="S25:S59" si="28">Q25*0.4</f>
        <v>263.17200000000003</v>
      </c>
      <c r="T25" s="24">
        <f t="shared" ref="T25:T59" si="29">S25*2</f>
        <v>526.34400000000005</v>
      </c>
      <c r="U25" s="24">
        <f t="shared" ref="U25:U59" si="30">T25+R25</f>
        <v>921.10200000000009</v>
      </c>
    </row>
    <row r="26" spans="1:30" s="175" customFormat="1" ht="24" x14ac:dyDescent="0.2">
      <c r="A26" s="12">
        <v>4</v>
      </c>
      <c r="B26" s="21" t="s">
        <v>65</v>
      </c>
      <c r="C26" s="13" t="s">
        <v>63</v>
      </c>
      <c r="D26" s="13">
        <v>7.75</v>
      </c>
      <c r="E26" s="12">
        <v>100</v>
      </c>
      <c r="F26" s="14">
        <v>768</v>
      </c>
      <c r="G26" s="12"/>
      <c r="H26" s="12"/>
      <c r="I26" s="12"/>
      <c r="J26" s="12"/>
      <c r="K26" s="12"/>
      <c r="L26" s="12"/>
      <c r="M26" s="23"/>
      <c r="N26" s="24"/>
      <c r="O26" s="24"/>
      <c r="P26" s="24"/>
      <c r="Q26" s="24"/>
      <c r="R26" s="24"/>
      <c r="S26" s="24"/>
      <c r="T26" s="24"/>
      <c r="U26" s="24"/>
    </row>
    <row r="27" spans="1:30" s="175" customFormat="1" ht="24" x14ac:dyDescent="0.2">
      <c r="A27" s="12">
        <v>5</v>
      </c>
      <c r="B27" s="21" t="s">
        <v>66</v>
      </c>
      <c r="C27" s="13" t="s">
        <v>33</v>
      </c>
      <c r="D27" s="13">
        <f>7.33+6.87</f>
        <v>14.2</v>
      </c>
      <c r="E27" s="12">
        <v>42</v>
      </c>
      <c r="F27" s="14">
        <v>1200</v>
      </c>
      <c r="G27" s="12"/>
      <c r="H27" s="12"/>
      <c r="I27" s="12"/>
      <c r="J27" s="12"/>
      <c r="K27" s="12"/>
      <c r="L27" s="12"/>
      <c r="M27" s="23">
        <f>D27</f>
        <v>14.2</v>
      </c>
      <c r="N27" s="24">
        <f>D27*105</f>
        <v>1491</v>
      </c>
      <c r="O27" s="24">
        <f t="shared" si="25"/>
        <v>969.15</v>
      </c>
      <c r="P27" s="24"/>
      <c r="Q27" s="24">
        <f t="shared" si="26"/>
        <v>775.32</v>
      </c>
      <c r="R27" s="24">
        <f t="shared" si="27"/>
        <v>465.19200000000001</v>
      </c>
      <c r="S27" s="24">
        <f t="shared" si="28"/>
        <v>310.12800000000004</v>
      </c>
      <c r="T27" s="24">
        <f t="shared" si="29"/>
        <v>620.25600000000009</v>
      </c>
      <c r="U27" s="24">
        <f t="shared" si="30"/>
        <v>1085.4480000000001</v>
      </c>
    </row>
    <row r="28" spans="1:30" s="175" customFormat="1" ht="24" x14ac:dyDescent="0.2">
      <c r="A28" s="12">
        <v>6</v>
      </c>
      <c r="B28" s="21" t="s">
        <v>67</v>
      </c>
      <c r="C28" s="13" t="s">
        <v>63</v>
      </c>
      <c r="D28" s="13">
        <v>6</v>
      </c>
      <c r="E28" s="12">
        <v>4</v>
      </c>
      <c r="F28" s="14">
        <v>5</v>
      </c>
      <c r="G28" s="12"/>
      <c r="H28" s="12"/>
      <c r="I28" s="12"/>
      <c r="J28" s="12"/>
      <c r="K28" s="12"/>
      <c r="L28" s="12"/>
      <c r="M28" s="23">
        <f>D28</f>
        <v>6</v>
      </c>
      <c r="N28" s="24">
        <f>D28*105</f>
        <v>630</v>
      </c>
      <c r="O28" s="24">
        <f t="shared" si="25"/>
        <v>409.5</v>
      </c>
      <c r="P28" s="24"/>
      <c r="Q28" s="24">
        <f t="shared" si="26"/>
        <v>327.60000000000002</v>
      </c>
      <c r="R28" s="24">
        <f t="shared" si="27"/>
        <v>196.56</v>
      </c>
      <c r="S28" s="24">
        <f t="shared" si="28"/>
        <v>131.04000000000002</v>
      </c>
      <c r="T28" s="24">
        <f t="shared" si="29"/>
        <v>262.08000000000004</v>
      </c>
      <c r="U28" s="24">
        <f t="shared" si="30"/>
        <v>458.64000000000004</v>
      </c>
    </row>
    <row r="29" spans="1:30" s="162" customFormat="1" ht="24" x14ac:dyDescent="0.2">
      <c r="A29" s="12">
        <v>7</v>
      </c>
      <c r="B29" s="21" t="s">
        <v>68</v>
      </c>
      <c r="C29" s="13" t="s">
        <v>63</v>
      </c>
      <c r="D29" s="13">
        <v>8.1300000000000008</v>
      </c>
      <c r="E29" s="12">
        <v>36</v>
      </c>
      <c r="F29" s="14">
        <v>0</v>
      </c>
      <c r="G29" s="12"/>
      <c r="H29" s="12"/>
      <c r="I29" s="12"/>
      <c r="J29" s="12"/>
      <c r="K29" s="12"/>
      <c r="L29" s="12"/>
      <c r="M29" s="23">
        <f>D29</f>
        <v>8.1300000000000008</v>
      </c>
      <c r="N29" s="24">
        <f>D29*105</f>
        <v>853.65000000000009</v>
      </c>
      <c r="O29" s="24">
        <f t="shared" si="25"/>
        <v>554.87250000000006</v>
      </c>
      <c r="P29" s="24"/>
      <c r="Q29" s="24">
        <f t="shared" si="26"/>
        <v>443.89800000000008</v>
      </c>
      <c r="R29" s="24">
        <f t="shared" si="27"/>
        <v>266.33880000000005</v>
      </c>
      <c r="S29" s="24">
        <f t="shared" si="28"/>
        <v>177.55920000000003</v>
      </c>
      <c r="T29" s="24">
        <f t="shared" si="29"/>
        <v>355.11840000000007</v>
      </c>
      <c r="U29" s="24">
        <f t="shared" si="30"/>
        <v>621.45720000000006</v>
      </c>
      <c r="V29" s="173"/>
    </row>
    <row r="30" spans="1:30" s="162" customFormat="1" ht="12.75" x14ac:dyDescent="0.2">
      <c r="A30" s="12">
        <v>8</v>
      </c>
      <c r="B30" s="21" t="s">
        <v>70</v>
      </c>
      <c r="C30" s="13" t="s">
        <v>31</v>
      </c>
      <c r="D30" s="13">
        <v>17.440000000000001</v>
      </c>
      <c r="E30" s="13">
        <v>100</v>
      </c>
      <c r="F30" s="14">
        <v>507</v>
      </c>
      <c r="G30" s="12"/>
      <c r="H30" s="12"/>
      <c r="I30" s="12"/>
      <c r="J30" s="12"/>
      <c r="K30" s="12"/>
      <c r="L30" s="12"/>
      <c r="M30" s="23">
        <v>60</v>
      </c>
      <c r="N30" s="24">
        <f>M30*105</f>
        <v>6300</v>
      </c>
      <c r="O30" s="24">
        <f t="shared" si="25"/>
        <v>4095</v>
      </c>
      <c r="P30" s="24"/>
      <c r="Q30" s="24">
        <f t="shared" si="26"/>
        <v>3276</v>
      </c>
      <c r="R30" s="24">
        <f t="shared" si="27"/>
        <v>1965.6</v>
      </c>
      <c r="S30" s="24">
        <f t="shared" si="28"/>
        <v>1310.4000000000001</v>
      </c>
      <c r="T30" s="24">
        <f t="shared" si="29"/>
        <v>2620.8000000000002</v>
      </c>
      <c r="U30" s="24">
        <f t="shared" si="30"/>
        <v>4586.3999999999996</v>
      </c>
    </row>
    <row r="31" spans="1:30" s="162" customFormat="1" ht="24" x14ac:dyDescent="0.2">
      <c r="A31" s="12">
        <v>9</v>
      </c>
      <c r="B31" s="21" t="s">
        <v>69</v>
      </c>
      <c r="C31" s="13" t="s">
        <v>31</v>
      </c>
      <c r="D31" s="13">
        <v>29.7</v>
      </c>
      <c r="E31" s="13">
        <v>78.2</v>
      </c>
      <c r="F31" s="12">
        <v>450</v>
      </c>
      <c r="G31" s="12"/>
      <c r="H31" s="12"/>
      <c r="I31" s="12"/>
      <c r="J31" s="12"/>
      <c r="K31" s="12"/>
      <c r="L31" s="12"/>
      <c r="M31" s="23">
        <v>75</v>
      </c>
      <c r="N31" s="24">
        <f>M31*105</f>
        <v>7875</v>
      </c>
      <c r="O31" s="24">
        <f t="shared" si="25"/>
        <v>5118.75</v>
      </c>
      <c r="P31" s="24"/>
      <c r="Q31" s="24">
        <f t="shared" si="26"/>
        <v>4095</v>
      </c>
      <c r="R31" s="24">
        <f t="shared" si="27"/>
        <v>2457</v>
      </c>
      <c r="S31" s="24">
        <f t="shared" si="28"/>
        <v>1638</v>
      </c>
      <c r="T31" s="24">
        <f t="shared" si="29"/>
        <v>3276</v>
      </c>
      <c r="U31" s="24">
        <f t="shared" si="30"/>
        <v>5733</v>
      </c>
    </row>
    <row r="32" spans="1:30" s="177" customFormat="1" ht="24" x14ac:dyDescent="0.2">
      <c r="A32" s="12">
        <v>10</v>
      </c>
      <c r="B32" s="21" t="s">
        <v>71</v>
      </c>
      <c r="C32" s="13" t="s">
        <v>31</v>
      </c>
      <c r="D32" s="13">
        <v>2.2599999999999998</v>
      </c>
      <c r="E32" s="13">
        <v>100</v>
      </c>
      <c r="F32" s="14">
        <v>14</v>
      </c>
      <c r="G32" s="12"/>
      <c r="H32" s="12"/>
      <c r="I32" s="12"/>
      <c r="J32" s="12"/>
      <c r="K32" s="12"/>
      <c r="L32" s="12"/>
      <c r="M32" s="13">
        <v>2.2599999999999998</v>
      </c>
      <c r="N32" s="24">
        <f t="shared" ref="N32:N40" si="31">D32*105</f>
        <v>237.29999999999998</v>
      </c>
      <c r="O32" s="24">
        <f t="shared" si="25"/>
        <v>154.245</v>
      </c>
      <c r="P32" s="24"/>
      <c r="Q32" s="24">
        <f t="shared" si="26"/>
        <v>123.39600000000002</v>
      </c>
      <c r="R32" s="24">
        <f t="shared" si="27"/>
        <v>74.037600000000012</v>
      </c>
      <c r="S32" s="24">
        <f t="shared" si="28"/>
        <v>49.35840000000001</v>
      </c>
      <c r="T32" s="24">
        <f t="shared" si="29"/>
        <v>98.716800000000021</v>
      </c>
      <c r="U32" s="24">
        <f t="shared" si="30"/>
        <v>172.75440000000003</v>
      </c>
      <c r="V32" s="176"/>
    </row>
    <row r="33" spans="1:23" s="177" customFormat="1" ht="12.75" x14ac:dyDescent="0.2">
      <c r="A33" s="12">
        <v>11</v>
      </c>
      <c r="B33" s="21" t="s">
        <v>74</v>
      </c>
      <c r="C33" s="13" t="s">
        <v>41</v>
      </c>
      <c r="D33" s="18">
        <v>72.91</v>
      </c>
      <c r="E33" s="12">
        <v>66.3</v>
      </c>
      <c r="F33" s="14">
        <v>795</v>
      </c>
      <c r="G33" s="12"/>
      <c r="H33" s="12"/>
      <c r="I33" s="12"/>
      <c r="J33" s="12"/>
      <c r="K33" s="12"/>
      <c r="L33" s="12"/>
      <c r="M33" s="18">
        <v>72.91</v>
      </c>
      <c r="N33" s="24">
        <f t="shared" si="31"/>
        <v>7655.5499999999993</v>
      </c>
      <c r="O33" s="24">
        <f t="shared" si="25"/>
        <v>4976.1075000000001</v>
      </c>
      <c r="P33" s="24"/>
      <c r="Q33" s="24">
        <f t="shared" si="26"/>
        <v>3980.8860000000004</v>
      </c>
      <c r="R33" s="24">
        <f t="shared" si="27"/>
        <v>2388.5316000000003</v>
      </c>
      <c r="S33" s="24">
        <f t="shared" si="28"/>
        <v>1592.3544000000002</v>
      </c>
      <c r="T33" s="24">
        <f t="shared" si="29"/>
        <v>3184.7088000000003</v>
      </c>
      <c r="U33" s="24">
        <f t="shared" si="30"/>
        <v>5573.2404000000006</v>
      </c>
    </row>
    <row r="34" spans="1:23" s="177" customFormat="1" ht="12.75" x14ac:dyDescent="0.2">
      <c r="A34" s="12">
        <v>12</v>
      </c>
      <c r="B34" s="21" t="s">
        <v>75</v>
      </c>
      <c r="C34" s="13" t="s">
        <v>41</v>
      </c>
      <c r="D34" s="18">
        <v>69</v>
      </c>
      <c r="E34" s="12">
        <v>0</v>
      </c>
      <c r="F34" s="14">
        <v>0</v>
      </c>
      <c r="G34" s="12"/>
      <c r="H34" s="12"/>
      <c r="I34" s="12"/>
      <c r="J34" s="12"/>
      <c r="K34" s="12"/>
      <c r="L34" s="12"/>
      <c r="M34" s="18">
        <v>69</v>
      </c>
      <c r="N34" s="24">
        <f t="shared" si="31"/>
        <v>7245</v>
      </c>
      <c r="O34" s="24">
        <f t="shared" si="25"/>
        <v>4709.25</v>
      </c>
      <c r="P34" s="24"/>
      <c r="Q34" s="24">
        <f t="shared" si="26"/>
        <v>3767.4</v>
      </c>
      <c r="R34" s="24">
        <f t="shared" si="27"/>
        <v>2260.44</v>
      </c>
      <c r="S34" s="24">
        <f t="shared" si="28"/>
        <v>1506.96</v>
      </c>
      <c r="T34" s="24">
        <f t="shared" si="29"/>
        <v>3013.92</v>
      </c>
      <c r="U34" s="24">
        <f t="shared" si="30"/>
        <v>5274.3600000000006</v>
      </c>
    </row>
    <row r="35" spans="1:23" s="177" customFormat="1" ht="12.75" x14ac:dyDescent="0.2">
      <c r="A35" s="12">
        <v>13</v>
      </c>
      <c r="B35" s="21" t="s">
        <v>170</v>
      </c>
      <c r="C35" s="13" t="s">
        <v>41</v>
      </c>
      <c r="D35" s="18">
        <v>70</v>
      </c>
      <c r="E35" s="12"/>
      <c r="F35" s="14">
        <v>7200</v>
      </c>
      <c r="G35" s="12"/>
      <c r="H35" s="12"/>
      <c r="I35" s="12"/>
      <c r="J35" s="12"/>
      <c r="K35" s="12"/>
      <c r="L35" s="12"/>
      <c r="M35" s="18">
        <v>70</v>
      </c>
      <c r="N35" s="24">
        <f t="shared" si="31"/>
        <v>7350</v>
      </c>
      <c r="O35" s="24">
        <f t="shared" si="25"/>
        <v>4777.5</v>
      </c>
      <c r="P35" s="24"/>
      <c r="Q35" s="24">
        <f t="shared" si="26"/>
        <v>3822</v>
      </c>
      <c r="R35" s="24">
        <f t="shared" si="27"/>
        <v>2293.1999999999998</v>
      </c>
      <c r="S35" s="24">
        <f t="shared" si="28"/>
        <v>1528.8000000000002</v>
      </c>
      <c r="T35" s="24">
        <f t="shared" si="29"/>
        <v>3057.6000000000004</v>
      </c>
      <c r="U35" s="24">
        <f t="shared" si="30"/>
        <v>5350.8</v>
      </c>
    </row>
    <row r="36" spans="1:23" s="177" customFormat="1" ht="12.75" x14ac:dyDescent="0.2">
      <c r="A36" s="12">
        <v>14</v>
      </c>
      <c r="B36" s="21" t="s">
        <v>171</v>
      </c>
      <c r="C36" s="13" t="s">
        <v>41</v>
      </c>
      <c r="D36" s="18">
        <v>50</v>
      </c>
      <c r="E36" s="12"/>
      <c r="F36" s="14">
        <v>0</v>
      </c>
      <c r="G36" s="12"/>
      <c r="H36" s="12"/>
      <c r="I36" s="12"/>
      <c r="J36" s="12"/>
      <c r="K36" s="12"/>
      <c r="L36" s="12"/>
      <c r="M36" s="18">
        <v>50</v>
      </c>
      <c r="N36" s="24">
        <f t="shared" si="31"/>
        <v>5250</v>
      </c>
      <c r="O36" s="24">
        <f t="shared" si="25"/>
        <v>3412.5</v>
      </c>
      <c r="P36" s="24"/>
      <c r="Q36" s="24">
        <f t="shared" si="26"/>
        <v>2730</v>
      </c>
      <c r="R36" s="24">
        <f t="shared" si="27"/>
        <v>1638</v>
      </c>
      <c r="S36" s="24">
        <f t="shared" si="28"/>
        <v>1092</v>
      </c>
      <c r="T36" s="24">
        <f t="shared" si="29"/>
        <v>2184</v>
      </c>
      <c r="U36" s="24">
        <f t="shared" si="30"/>
        <v>3822</v>
      </c>
    </row>
    <row r="37" spans="1:23" s="162" customFormat="1" ht="12.75" x14ac:dyDescent="0.2">
      <c r="A37" s="12">
        <v>15</v>
      </c>
      <c r="B37" s="21" t="s">
        <v>172</v>
      </c>
      <c r="C37" s="13" t="s">
        <v>41</v>
      </c>
      <c r="D37" s="18">
        <v>75</v>
      </c>
      <c r="E37" s="12"/>
      <c r="F37" s="14"/>
      <c r="G37" s="12"/>
      <c r="H37" s="12"/>
      <c r="I37" s="12"/>
      <c r="J37" s="12"/>
      <c r="K37" s="12"/>
      <c r="L37" s="12"/>
      <c r="M37" s="18">
        <v>75</v>
      </c>
      <c r="N37" s="24">
        <f t="shared" si="31"/>
        <v>7875</v>
      </c>
      <c r="O37" s="24">
        <f t="shared" si="25"/>
        <v>5118.75</v>
      </c>
      <c r="P37" s="24"/>
      <c r="Q37" s="24">
        <f t="shared" si="26"/>
        <v>4095</v>
      </c>
      <c r="R37" s="24">
        <f t="shared" si="27"/>
        <v>2457</v>
      </c>
      <c r="S37" s="24">
        <f t="shared" si="28"/>
        <v>1638</v>
      </c>
      <c r="T37" s="24">
        <f t="shared" si="29"/>
        <v>3276</v>
      </c>
      <c r="U37" s="24">
        <f t="shared" si="30"/>
        <v>5733</v>
      </c>
      <c r="V37" s="173"/>
    </row>
    <row r="38" spans="1:23" s="162" customFormat="1" ht="24" x14ac:dyDescent="0.2">
      <c r="A38" s="12">
        <v>16</v>
      </c>
      <c r="B38" s="21" t="s">
        <v>173</v>
      </c>
      <c r="C38" s="13" t="s">
        <v>41</v>
      </c>
      <c r="D38" s="18">
        <v>50</v>
      </c>
      <c r="E38" s="12"/>
      <c r="F38" s="14"/>
      <c r="G38" s="12"/>
      <c r="H38" s="12"/>
      <c r="I38" s="12"/>
      <c r="J38" s="12"/>
      <c r="K38" s="12"/>
      <c r="L38" s="12"/>
      <c r="M38" s="18">
        <v>50</v>
      </c>
      <c r="N38" s="24">
        <f t="shared" si="31"/>
        <v>5250</v>
      </c>
      <c r="O38" s="24">
        <f t="shared" ref="O38:O39" si="32">N38*0.65</f>
        <v>3412.5</v>
      </c>
      <c r="P38" s="24"/>
      <c r="Q38" s="24">
        <f t="shared" ref="Q38:Q39" si="33">O38*0.8</f>
        <v>2730</v>
      </c>
      <c r="R38" s="24">
        <f t="shared" ref="R38:R39" si="34">Q38*0.6</f>
        <v>1638</v>
      </c>
      <c r="S38" s="24">
        <f t="shared" ref="S38:S39" si="35">Q38*0.4</f>
        <v>1092</v>
      </c>
      <c r="T38" s="24">
        <f t="shared" ref="T38:T39" si="36">S38*2</f>
        <v>2184</v>
      </c>
      <c r="U38" s="24">
        <f t="shared" ref="U38:U39" si="37">T38+R38</f>
        <v>3822</v>
      </c>
      <c r="V38" s="173"/>
    </row>
    <row r="39" spans="1:23" s="162" customFormat="1" ht="24" x14ac:dyDescent="0.2">
      <c r="A39" s="12">
        <v>17</v>
      </c>
      <c r="B39" s="21" t="s">
        <v>174</v>
      </c>
      <c r="C39" s="13" t="s">
        <v>41</v>
      </c>
      <c r="D39" s="18">
        <v>70</v>
      </c>
      <c r="E39" s="12"/>
      <c r="F39" s="14"/>
      <c r="G39" s="12"/>
      <c r="H39" s="12"/>
      <c r="I39" s="12"/>
      <c r="J39" s="12"/>
      <c r="K39" s="12"/>
      <c r="L39" s="12"/>
      <c r="M39" s="18">
        <v>70</v>
      </c>
      <c r="N39" s="24">
        <f t="shared" si="31"/>
        <v>7350</v>
      </c>
      <c r="O39" s="24">
        <f t="shared" si="32"/>
        <v>4777.5</v>
      </c>
      <c r="P39" s="24"/>
      <c r="Q39" s="24">
        <f t="shared" si="33"/>
        <v>3822</v>
      </c>
      <c r="R39" s="24">
        <f t="shared" si="34"/>
        <v>2293.1999999999998</v>
      </c>
      <c r="S39" s="24">
        <f t="shared" si="35"/>
        <v>1528.8000000000002</v>
      </c>
      <c r="T39" s="24">
        <f t="shared" si="36"/>
        <v>3057.6000000000004</v>
      </c>
      <c r="U39" s="24">
        <f t="shared" si="37"/>
        <v>5350.8</v>
      </c>
      <c r="V39" s="173"/>
    </row>
    <row r="40" spans="1:23" s="178" customFormat="1" ht="12.75" x14ac:dyDescent="0.2">
      <c r="A40" s="12">
        <v>18</v>
      </c>
      <c r="B40" s="21" t="s">
        <v>79</v>
      </c>
      <c r="C40" s="13" t="s">
        <v>78</v>
      </c>
      <c r="D40" s="13">
        <f>29.66+36.5</f>
        <v>66.16</v>
      </c>
      <c r="E40" s="12">
        <v>30.3</v>
      </c>
      <c r="F40" s="14">
        <v>4877</v>
      </c>
      <c r="G40" s="12"/>
      <c r="H40" s="12"/>
      <c r="I40" s="12"/>
      <c r="J40" s="12"/>
      <c r="K40" s="12"/>
      <c r="L40" s="12"/>
      <c r="M40" s="13">
        <f>29.66+36.5</f>
        <v>66.16</v>
      </c>
      <c r="N40" s="24">
        <f t="shared" si="31"/>
        <v>6946.7999999999993</v>
      </c>
      <c r="O40" s="24">
        <f t="shared" si="25"/>
        <v>4515.42</v>
      </c>
      <c r="P40" s="24"/>
      <c r="Q40" s="24">
        <f t="shared" si="26"/>
        <v>3612.3360000000002</v>
      </c>
      <c r="R40" s="24">
        <f t="shared" si="27"/>
        <v>2167.4016000000001</v>
      </c>
      <c r="S40" s="24">
        <f t="shared" si="28"/>
        <v>1444.9344000000001</v>
      </c>
      <c r="T40" s="24">
        <f t="shared" si="29"/>
        <v>2889.8688000000002</v>
      </c>
      <c r="U40" s="24">
        <f t="shared" si="30"/>
        <v>5057.2704000000003</v>
      </c>
      <c r="V40" s="162"/>
      <c r="W40" s="162"/>
    </row>
    <row r="41" spans="1:23" s="178" customFormat="1" ht="12.75" x14ac:dyDescent="0.2">
      <c r="A41" s="12">
        <v>19</v>
      </c>
      <c r="B41" s="21" t="s">
        <v>119</v>
      </c>
      <c r="C41" s="13"/>
      <c r="D41" s="13">
        <v>48</v>
      </c>
      <c r="E41" s="12"/>
      <c r="F41" s="14"/>
      <c r="G41" s="12"/>
      <c r="H41" s="12"/>
      <c r="I41" s="12"/>
      <c r="J41" s="12"/>
      <c r="K41" s="12"/>
      <c r="L41" s="12"/>
      <c r="M41" s="13">
        <v>48</v>
      </c>
      <c r="N41" s="24">
        <v>48</v>
      </c>
      <c r="O41" s="24">
        <f t="shared" ref="O41" si="38">N41*0.65</f>
        <v>31.200000000000003</v>
      </c>
      <c r="P41" s="24"/>
      <c r="Q41" s="24">
        <f t="shared" ref="Q41" si="39">O41*0.8</f>
        <v>24.960000000000004</v>
      </c>
      <c r="R41" s="24">
        <f t="shared" ref="R41" si="40">Q41*0.6</f>
        <v>14.976000000000003</v>
      </c>
      <c r="S41" s="24">
        <f t="shared" ref="S41" si="41">Q41*0.4</f>
        <v>9.9840000000000018</v>
      </c>
      <c r="T41" s="24">
        <f t="shared" ref="T41" si="42">S41*2</f>
        <v>19.968000000000004</v>
      </c>
      <c r="U41" s="24">
        <f t="shared" ref="U41" si="43">T41+R41</f>
        <v>34.944000000000003</v>
      </c>
      <c r="V41" s="179"/>
    </row>
    <row r="42" spans="1:23" s="162" customFormat="1" ht="12.75" x14ac:dyDescent="0.2">
      <c r="A42" s="12">
        <v>20</v>
      </c>
      <c r="B42" s="21" t="s">
        <v>80</v>
      </c>
      <c r="C42" s="13" t="s">
        <v>83</v>
      </c>
      <c r="D42" s="13">
        <v>6.5</v>
      </c>
      <c r="E42" s="12">
        <v>100</v>
      </c>
      <c r="F42" s="14">
        <v>577</v>
      </c>
      <c r="G42" s="12"/>
      <c r="H42" s="12"/>
      <c r="I42" s="12"/>
      <c r="J42" s="12"/>
      <c r="K42" s="12"/>
      <c r="L42" s="12"/>
      <c r="M42" s="13">
        <v>6.5</v>
      </c>
      <c r="N42" s="24">
        <f>D42*105</f>
        <v>682.5</v>
      </c>
      <c r="O42" s="24">
        <f t="shared" si="25"/>
        <v>443.625</v>
      </c>
      <c r="P42" s="24"/>
      <c r="Q42" s="24">
        <f t="shared" si="26"/>
        <v>354.90000000000003</v>
      </c>
      <c r="R42" s="24">
        <f t="shared" si="27"/>
        <v>212.94000000000003</v>
      </c>
      <c r="S42" s="24">
        <f t="shared" si="28"/>
        <v>141.96</v>
      </c>
      <c r="T42" s="24">
        <f t="shared" si="29"/>
        <v>283.92</v>
      </c>
      <c r="U42" s="24">
        <f t="shared" si="30"/>
        <v>496.86</v>
      </c>
      <c r="V42" s="178"/>
      <c r="W42" s="178"/>
    </row>
    <row r="43" spans="1:23" s="162" customFormat="1" ht="12.75" x14ac:dyDescent="0.2">
      <c r="A43" s="12">
        <v>21</v>
      </c>
      <c r="B43" s="21" t="s">
        <v>81</v>
      </c>
      <c r="C43" s="13" t="s">
        <v>84</v>
      </c>
      <c r="D43" s="13">
        <v>20.6</v>
      </c>
      <c r="E43" s="12">
        <v>13</v>
      </c>
      <c r="F43" s="14">
        <v>16</v>
      </c>
      <c r="G43" s="12"/>
      <c r="H43" s="12"/>
      <c r="I43" s="12"/>
      <c r="J43" s="12"/>
      <c r="K43" s="12"/>
      <c r="L43" s="12"/>
      <c r="M43" s="13">
        <v>20.6</v>
      </c>
      <c r="N43" s="24">
        <f>D43*105</f>
        <v>2163</v>
      </c>
      <c r="O43" s="24">
        <f t="shared" si="25"/>
        <v>1405.95</v>
      </c>
      <c r="P43" s="24"/>
      <c r="Q43" s="24">
        <f t="shared" si="26"/>
        <v>1124.76</v>
      </c>
      <c r="R43" s="24">
        <f t="shared" si="27"/>
        <v>674.85599999999999</v>
      </c>
      <c r="S43" s="24">
        <f t="shared" si="28"/>
        <v>449.904</v>
      </c>
      <c r="T43" s="24">
        <f t="shared" si="29"/>
        <v>899.80799999999999</v>
      </c>
      <c r="U43" s="24">
        <f t="shared" si="30"/>
        <v>1574.664</v>
      </c>
      <c r="V43" s="173"/>
    </row>
    <row r="44" spans="1:23" s="162" customFormat="1" ht="24" x14ac:dyDescent="0.2">
      <c r="A44" s="12">
        <v>22</v>
      </c>
      <c r="B44" s="21" t="s">
        <v>87</v>
      </c>
      <c r="C44" s="13" t="s">
        <v>56</v>
      </c>
      <c r="D44" s="18">
        <v>17.18</v>
      </c>
      <c r="E44" s="12">
        <v>100</v>
      </c>
      <c r="F44" s="14">
        <v>354</v>
      </c>
      <c r="G44" s="12"/>
      <c r="H44" s="12"/>
      <c r="I44" s="12"/>
      <c r="J44" s="12"/>
      <c r="K44" s="12"/>
      <c r="L44" s="12"/>
      <c r="M44" s="18">
        <v>17.18</v>
      </c>
      <c r="N44" s="24">
        <f>D44*105</f>
        <v>1803.8999999999999</v>
      </c>
      <c r="O44" s="24">
        <f t="shared" si="25"/>
        <v>1172.5349999999999</v>
      </c>
      <c r="P44" s="24"/>
      <c r="Q44" s="24">
        <f t="shared" si="26"/>
        <v>938.02799999999991</v>
      </c>
      <c r="R44" s="24">
        <f t="shared" si="27"/>
        <v>562.81679999999994</v>
      </c>
      <c r="S44" s="24">
        <f t="shared" si="28"/>
        <v>375.21119999999996</v>
      </c>
      <c r="T44" s="24">
        <f t="shared" si="29"/>
        <v>750.42239999999993</v>
      </c>
      <c r="U44" s="24">
        <f t="shared" si="30"/>
        <v>1313.2392</v>
      </c>
    </row>
    <row r="45" spans="1:23" s="162" customFormat="1" ht="24" x14ac:dyDescent="0.2">
      <c r="A45" s="12">
        <v>23</v>
      </c>
      <c r="B45" s="21" t="s">
        <v>88</v>
      </c>
      <c r="C45" s="13" t="s">
        <v>56</v>
      </c>
      <c r="D45" s="18">
        <v>13.2</v>
      </c>
      <c r="E45" s="12">
        <v>100</v>
      </c>
      <c r="F45" s="14">
        <v>245</v>
      </c>
      <c r="G45" s="12"/>
      <c r="H45" s="12"/>
      <c r="I45" s="12"/>
      <c r="J45" s="12"/>
      <c r="K45" s="12"/>
      <c r="L45" s="12"/>
      <c r="M45" s="18">
        <v>13.2</v>
      </c>
      <c r="N45" s="24">
        <f>D45*105</f>
        <v>1386</v>
      </c>
      <c r="O45" s="24">
        <f t="shared" si="25"/>
        <v>900.9</v>
      </c>
      <c r="P45" s="24"/>
      <c r="Q45" s="24">
        <f t="shared" si="26"/>
        <v>720.72</v>
      </c>
      <c r="R45" s="24">
        <f t="shared" si="27"/>
        <v>432.43200000000002</v>
      </c>
      <c r="S45" s="24">
        <f t="shared" si="28"/>
        <v>288.28800000000001</v>
      </c>
      <c r="T45" s="24">
        <f t="shared" si="29"/>
        <v>576.57600000000002</v>
      </c>
      <c r="U45" s="24">
        <f t="shared" si="30"/>
        <v>1009.008</v>
      </c>
    </row>
    <row r="46" spans="1:23" s="162" customFormat="1" ht="24" x14ac:dyDescent="0.2">
      <c r="A46" s="12">
        <v>24</v>
      </c>
      <c r="B46" s="21" t="s">
        <v>89</v>
      </c>
      <c r="C46" s="13" t="s">
        <v>90</v>
      </c>
      <c r="D46" s="18">
        <v>66</v>
      </c>
      <c r="E46" s="18">
        <v>100</v>
      </c>
      <c r="F46" s="14">
        <v>6800</v>
      </c>
      <c r="G46" s="12"/>
      <c r="H46" s="12"/>
      <c r="I46" s="12"/>
      <c r="J46" s="12"/>
      <c r="K46" s="12"/>
      <c r="L46" s="12"/>
      <c r="M46" s="23">
        <v>66</v>
      </c>
      <c r="N46" s="24">
        <f>M46*105</f>
        <v>6930</v>
      </c>
      <c r="O46" s="24">
        <f t="shared" si="25"/>
        <v>4504.5</v>
      </c>
      <c r="P46" s="24"/>
      <c r="Q46" s="24">
        <f t="shared" si="26"/>
        <v>3603.6000000000004</v>
      </c>
      <c r="R46" s="24">
        <f t="shared" si="27"/>
        <v>2162.1600000000003</v>
      </c>
      <c r="S46" s="24">
        <f t="shared" si="28"/>
        <v>1441.4400000000003</v>
      </c>
      <c r="T46" s="24">
        <f t="shared" si="29"/>
        <v>2882.8800000000006</v>
      </c>
      <c r="U46" s="24">
        <f t="shared" si="30"/>
        <v>5045.0400000000009</v>
      </c>
    </row>
    <row r="47" spans="1:23" s="162" customFormat="1" ht="24" x14ac:dyDescent="0.2">
      <c r="A47" s="12">
        <v>25</v>
      </c>
      <c r="B47" s="21" t="s">
        <v>85</v>
      </c>
      <c r="C47" s="13" t="s">
        <v>56</v>
      </c>
      <c r="D47" s="18">
        <v>22.34</v>
      </c>
      <c r="E47" s="18">
        <v>100</v>
      </c>
      <c r="F47" s="14">
        <v>1500</v>
      </c>
      <c r="G47" s="12"/>
      <c r="H47" s="12"/>
      <c r="I47" s="12"/>
      <c r="J47" s="12"/>
      <c r="K47" s="12"/>
      <c r="L47" s="12"/>
      <c r="M47" s="18">
        <v>22.34</v>
      </c>
      <c r="N47" s="24">
        <f t="shared" ref="N47:N59" si="44">D47*105</f>
        <v>2345.6999999999998</v>
      </c>
      <c r="O47" s="24">
        <f t="shared" si="25"/>
        <v>1524.7049999999999</v>
      </c>
      <c r="P47" s="24"/>
      <c r="Q47" s="24">
        <f t="shared" si="26"/>
        <v>1219.7639999999999</v>
      </c>
      <c r="R47" s="24">
        <f t="shared" si="27"/>
        <v>731.85839999999996</v>
      </c>
      <c r="S47" s="24">
        <f t="shared" si="28"/>
        <v>487.90559999999999</v>
      </c>
      <c r="T47" s="24">
        <f t="shared" si="29"/>
        <v>975.81119999999999</v>
      </c>
      <c r="U47" s="24">
        <f t="shared" si="30"/>
        <v>1707.6695999999999</v>
      </c>
    </row>
    <row r="48" spans="1:23" s="178" customFormat="1" ht="24" x14ac:dyDescent="0.2">
      <c r="A48" s="12">
        <v>26</v>
      </c>
      <c r="B48" s="21" t="s">
        <v>86</v>
      </c>
      <c r="C48" s="13" t="s">
        <v>56</v>
      </c>
      <c r="D48" s="18">
        <v>50</v>
      </c>
      <c r="E48" s="12">
        <v>49.9</v>
      </c>
      <c r="F48" s="14">
        <v>1060</v>
      </c>
      <c r="G48" s="12"/>
      <c r="H48" s="12"/>
      <c r="I48" s="12"/>
      <c r="J48" s="12"/>
      <c r="K48" s="12"/>
      <c r="L48" s="12"/>
      <c r="M48" s="18">
        <v>50</v>
      </c>
      <c r="N48" s="24">
        <f t="shared" si="44"/>
        <v>5250</v>
      </c>
      <c r="O48" s="24">
        <f t="shared" si="25"/>
        <v>3412.5</v>
      </c>
      <c r="P48" s="24"/>
      <c r="Q48" s="24">
        <f t="shared" si="26"/>
        <v>2730</v>
      </c>
      <c r="R48" s="24">
        <f t="shared" si="27"/>
        <v>1638</v>
      </c>
      <c r="S48" s="24">
        <f t="shared" si="28"/>
        <v>1092</v>
      </c>
      <c r="T48" s="24">
        <f t="shared" si="29"/>
        <v>2184</v>
      </c>
      <c r="U48" s="24">
        <f t="shared" si="30"/>
        <v>3822</v>
      </c>
      <c r="V48" s="162"/>
      <c r="W48" s="162"/>
    </row>
    <row r="49" spans="1:23" s="178" customFormat="1" ht="24" x14ac:dyDescent="0.2">
      <c r="A49" s="12">
        <v>27</v>
      </c>
      <c r="B49" s="21" t="s">
        <v>91</v>
      </c>
      <c r="C49" s="13" t="s">
        <v>56</v>
      </c>
      <c r="D49" s="18">
        <v>65.36</v>
      </c>
      <c r="E49" s="18"/>
      <c r="F49" s="14">
        <v>0</v>
      </c>
      <c r="G49" s="12"/>
      <c r="H49" s="12"/>
      <c r="I49" s="12"/>
      <c r="J49" s="12"/>
      <c r="K49" s="12"/>
      <c r="L49" s="12"/>
      <c r="M49" s="18">
        <v>65.36</v>
      </c>
      <c r="N49" s="24">
        <f t="shared" si="44"/>
        <v>6862.8</v>
      </c>
      <c r="O49" s="24">
        <f t="shared" si="25"/>
        <v>4460.8200000000006</v>
      </c>
      <c r="P49" s="24"/>
      <c r="Q49" s="24">
        <f t="shared" si="26"/>
        <v>3568.6560000000009</v>
      </c>
      <c r="R49" s="24">
        <f t="shared" si="27"/>
        <v>2141.1936000000005</v>
      </c>
      <c r="S49" s="24">
        <f t="shared" si="28"/>
        <v>1427.4624000000003</v>
      </c>
      <c r="T49" s="24">
        <f t="shared" si="29"/>
        <v>2854.9248000000007</v>
      </c>
      <c r="U49" s="24">
        <f t="shared" si="30"/>
        <v>4996.1184000000012</v>
      </c>
      <c r="V49" s="179"/>
    </row>
    <row r="50" spans="1:23" s="178" customFormat="1" ht="24" x14ac:dyDescent="0.2">
      <c r="A50" s="12">
        <v>28</v>
      </c>
      <c r="B50" s="21" t="s">
        <v>93</v>
      </c>
      <c r="C50" s="13" t="s">
        <v>38</v>
      </c>
      <c r="D50" s="19">
        <v>5.04</v>
      </c>
      <c r="E50" s="12">
        <v>100</v>
      </c>
      <c r="F50" s="14">
        <v>3915</v>
      </c>
      <c r="G50" s="12"/>
      <c r="H50" s="12"/>
      <c r="I50" s="12"/>
      <c r="J50" s="12"/>
      <c r="K50" s="12"/>
      <c r="L50" s="12"/>
      <c r="M50" s="19">
        <v>5.04</v>
      </c>
      <c r="N50" s="24">
        <f t="shared" si="44"/>
        <v>529.20000000000005</v>
      </c>
      <c r="O50" s="24">
        <f t="shared" si="25"/>
        <v>343.98</v>
      </c>
      <c r="P50" s="24"/>
      <c r="Q50" s="24">
        <f t="shared" si="26"/>
        <v>275.18400000000003</v>
      </c>
      <c r="R50" s="24">
        <f t="shared" si="27"/>
        <v>165.1104</v>
      </c>
      <c r="S50" s="24">
        <f t="shared" si="28"/>
        <v>110.07360000000001</v>
      </c>
      <c r="T50" s="24">
        <f t="shared" si="29"/>
        <v>220.14720000000003</v>
      </c>
      <c r="U50" s="24">
        <f t="shared" si="30"/>
        <v>385.25760000000002</v>
      </c>
    </row>
    <row r="51" spans="1:23" s="162" customFormat="1" ht="24" x14ac:dyDescent="0.2">
      <c r="A51" s="12">
        <v>29</v>
      </c>
      <c r="B51" s="21" t="s">
        <v>94</v>
      </c>
      <c r="C51" s="13" t="s">
        <v>40</v>
      </c>
      <c r="D51" s="18">
        <v>61.41</v>
      </c>
      <c r="E51" s="12">
        <v>66.3</v>
      </c>
      <c r="F51" s="14">
        <v>1815</v>
      </c>
      <c r="G51" s="12"/>
      <c r="H51" s="12"/>
      <c r="I51" s="12"/>
      <c r="J51" s="12"/>
      <c r="K51" s="12"/>
      <c r="L51" s="12"/>
      <c r="M51" s="18">
        <v>61.41</v>
      </c>
      <c r="N51" s="24">
        <f t="shared" si="44"/>
        <v>6448.0499999999993</v>
      </c>
      <c r="O51" s="24">
        <f t="shared" si="25"/>
        <v>4191.2325000000001</v>
      </c>
      <c r="P51" s="24"/>
      <c r="Q51" s="24">
        <f t="shared" si="26"/>
        <v>3352.9860000000003</v>
      </c>
      <c r="R51" s="24">
        <f t="shared" si="27"/>
        <v>2011.7916</v>
      </c>
      <c r="S51" s="24">
        <f t="shared" si="28"/>
        <v>1341.1944000000003</v>
      </c>
      <c r="T51" s="24">
        <f t="shared" si="29"/>
        <v>2682.3888000000006</v>
      </c>
      <c r="U51" s="24">
        <f t="shared" si="30"/>
        <v>4694.1804000000011</v>
      </c>
      <c r="V51" s="178"/>
      <c r="W51" s="178"/>
    </row>
    <row r="52" spans="1:23" s="162" customFormat="1" ht="12.75" x14ac:dyDescent="0.2">
      <c r="A52" s="12">
        <v>30</v>
      </c>
      <c r="B52" s="21" t="s">
        <v>95</v>
      </c>
      <c r="C52" s="13" t="s">
        <v>45</v>
      </c>
      <c r="D52" s="13">
        <v>9.1</v>
      </c>
      <c r="E52" s="13">
        <v>100</v>
      </c>
      <c r="F52" s="14">
        <v>4628</v>
      </c>
      <c r="G52" s="12"/>
      <c r="H52" s="12"/>
      <c r="I52" s="12"/>
      <c r="J52" s="12"/>
      <c r="K52" s="12"/>
      <c r="L52" s="12"/>
      <c r="M52" s="13">
        <v>9.1</v>
      </c>
      <c r="N52" s="24">
        <f t="shared" si="44"/>
        <v>955.5</v>
      </c>
      <c r="O52" s="24">
        <f t="shared" si="25"/>
        <v>621.07500000000005</v>
      </c>
      <c r="P52" s="24"/>
      <c r="Q52" s="24">
        <f t="shared" si="26"/>
        <v>496.86000000000007</v>
      </c>
      <c r="R52" s="24">
        <f t="shared" si="27"/>
        <v>298.11600000000004</v>
      </c>
      <c r="S52" s="24">
        <f t="shared" si="28"/>
        <v>198.74400000000003</v>
      </c>
      <c r="T52" s="24">
        <f t="shared" si="29"/>
        <v>397.48800000000006</v>
      </c>
      <c r="U52" s="24">
        <f t="shared" si="30"/>
        <v>695.60400000000004</v>
      </c>
      <c r="V52" s="173"/>
    </row>
    <row r="53" spans="1:23" s="162" customFormat="1" ht="12.75" x14ac:dyDescent="0.2">
      <c r="A53" s="12">
        <v>31</v>
      </c>
      <c r="B53" s="21" t="s">
        <v>96</v>
      </c>
      <c r="C53" s="13" t="s">
        <v>99</v>
      </c>
      <c r="D53" s="13">
        <v>32</v>
      </c>
      <c r="E53" s="13">
        <v>100</v>
      </c>
      <c r="F53" s="14">
        <v>3508</v>
      </c>
      <c r="G53" s="12"/>
      <c r="H53" s="12"/>
      <c r="I53" s="12"/>
      <c r="J53" s="12"/>
      <c r="K53" s="12"/>
      <c r="L53" s="12"/>
      <c r="M53" s="13">
        <v>32</v>
      </c>
      <c r="N53" s="24">
        <f t="shared" si="44"/>
        <v>3360</v>
      </c>
      <c r="O53" s="24">
        <f t="shared" si="25"/>
        <v>2184</v>
      </c>
      <c r="P53" s="24"/>
      <c r="Q53" s="24">
        <f t="shared" si="26"/>
        <v>1747.2</v>
      </c>
      <c r="R53" s="24">
        <f t="shared" si="27"/>
        <v>1048.32</v>
      </c>
      <c r="S53" s="24">
        <f t="shared" si="28"/>
        <v>698.88000000000011</v>
      </c>
      <c r="T53" s="24">
        <f t="shared" si="29"/>
        <v>1397.7600000000002</v>
      </c>
      <c r="U53" s="24">
        <f t="shared" si="30"/>
        <v>2446.08</v>
      </c>
    </row>
    <row r="54" spans="1:23" s="178" customFormat="1" ht="12.75" x14ac:dyDescent="0.2">
      <c r="A54" s="12">
        <v>32</v>
      </c>
      <c r="B54" s="21" t="s">
        <v>97</v>
      </c>
      <c r="C54" s="13" t="s">
        <v>45</v>
      </c>
      <c r="D54" s="13">
        <v>69.47</v>
      </c>
      <c r="E54" s="13">
        <v>0</v>
      </c>
      <c r="F54" s="14">
        <v>0</v>
      </c>
      <c r="G54" s="12"/>
      <c r="H54" s="12"/>
      <c r="I54" s="12"/>
      <c r="J54" s="12"/>
      <c r="K54" s="12"/>
      <c r="L54" s="12"/>
      <c r="M54" s="13">
        <v>69.47</v>
      </c>
      <c r="N54" s="24">
        <f t="shared" si="44"/>
        <v>7294.3499999999995</v>
      </c>
      <c r="O54" s="24">
        <f t="shared" si="25"/>
        <v>4741.3274999999994</v>
      </c>
      <c r="P54" s="24"/>
      <c r="Q54" s="24">
        <f t="shared" si="26"/>
        <v>3793.0619999999999</v>
      </c>
      <c r="R54" s="24">
        <f t="shared" si="27"/>
        <v>2275.8371999999999</v>
      </c>
      <c r="S54" s="24">
        <f t="shared" si="28"/>
        <v>1517.2248</v>
      </c>
      <c r="T54" s="24">
        <f t="shared" si="29"/>
        <v>3034.4495999999999</v>
      </c>
      <c r="U54" s="24">
        <f t="shared" si="30"/>
        <v>5310.2867999999999</v>
      </c>
      <c r="V54" s="162"/>
      <c r="W54" s="162"/>
    </row>
    <row r="55" spans="1:23" s="178" customFormat="1" ht="12.75" x14ac:dyDescent="0.2">
      <c r="A55" s="12">
        <v>33</v>
      </c>
      <c r="B55" s="21" t="s">
        <v>98</v>
      </c>
      <c r="C55" s="13" t="s">
        <v>99</v>
      </c>
      <c r="D55" s="13">
        <v>75</v>
      </c>
      <c r="E55" s="13">
        <v>0</v>
      </c>
      <c r="F55" s="14">
        <v>0</v>
      </c>
      <c r="G55" s="12"/>
      <c r="H55" s="12"/>
      <c r="I55" s="12"/>
      <c r="J55" s="12"/>
      <c r="K55" s="12"/>
      <c r="L55" s="12"/>
      <c r="M55" s="13">
        <v>75</v>
      </c>
      <c r="N55" s="24">
        <f t="shared" si="44"/>
        <v>7875</v>
      </c>
      <c r="O55" s="24">
        <f t="shared" si="25"/>
        <v>5118.75</v>
      </c>
      <c r="P55" s="24"/>
      <c r="Q55" s="24">
        <f t="shared" si="26"/>
        <v>4095</v>
      </c>
      <c r="R55" s="24">
        <f t="shared" si="27"/>
        <v>2457</v>
      </c>
      <c r="S55" s="24">
        <f t="shared" si="28"/>
        <v>1638</v>
      </c>
      <c r="T55" s="24">
        <f t="shared" si="29"/>
        <v>3276</v>
      </c>
      <c r="U55" s="24">
        <f t="shared" si="30"/>
        <v>5733</v>
      </c>
      <c r="V55" s="180"/>
      <c r="W55" s="181"/>
    </row>
    <row r="56" spans="1:23" s="178" customFormat="1" ht="24" x14ac:dyDescent="0.2">
      <c r="A56" s="12">
        <v>34</v>
      </c>
      <c r="B56" s="21" t="s">
        <v>142</v>
      </c>
      <c r="C56" s="13" t="s">
        <v>99</v>
      </c>
      <c r="D56" s="13">
        <v>75</v>
      </c>
      <c r="E56" s="13">
        <v>0</v>
      </c>
      <c r="F56" s="14"/>
      <c r="G56" s="12"/>
      <c r="H56" s="12"/>
      <c r="I56" s="12"/>
      <c r="J56" s="12"/>
      <c r="K56" s="12"/>
      <c r="L56" s="12"/>
      <c r="M56" s="13">
        <v>75</v>
      </c>
      <c r="N56" s="24">
        <f t="shared" si="44"/>
        <v>7875</v>
      </c>
      <c r="O56" s="24">
        <f t="shared" si="25"/>
        <v>5118.75</v>
      </c>
      <c r="P56" s="24"/>
      <c r="Q56" s="24">
        <f t="shared" si="26"/>
        <v>4095</v>
      </c>
      <c r="R56" s="24">
        <f t="shared" si="27"/>
        <v>2457</v>
      </c>
      <c r="S56" s="24">
        <f t="shared" si="28"/>
        <v>1638</v>
      </c>
      <c r="T56" s="24">
        <f t="shared" si="29"/>
        <v>3276</v>
      </c>
      <c r="U56" s="24">
        <f t="shared" si="30"/>
        <v>5733</v>
      </c>
      <c r="V56" s="181"/>
      <c r="W56" s="181"/>
    </row>
    <row r="57" spans="1:23" s="183" customFormat="1" ht="24" x14ac:dyDescent="0.2">
      <c r="A57" s="12">
        <v>35</v>
      </c>
      <c r="B57" s="21" t="s">
        <v>143</v>
      </c>
      <c r="C57" s="13" t="s">
        <v>99</v>
      </c>
      <c r="D57" s="13">
        <v>31.6</v>
      </c>
      <c r="E57" s="13"/>
      <c r="F57" s="14"/>
      <c r="G57" s="12"/>
      <c r="H57" s="12"/>
      <c r="I57" s="12"/>
      <c r="J57" s="12"/>
      <c r="K57" s="12"/>
      <c r="L57" s="12"/>
      <c r="M57" s="13">
        <v>31.6</v>
      </c>
      <c r="N57" s="24">
        <f t="shared" si="44"/>
        <v>3318</v>
      </c>
      <c r="O57" s="24">
        <f t="shared" si="25"/>
        <v>2156.7000000000003</v>
      </c>
      <c r="P57" s="24"/>
      <c r="Q57" s="24">
        <f t="shared" si="26"/>
        <v>1725.3600000000004</v>
      </c>
      <c r="R57" s="24">
        <f t="shared" si="27"/>
        <v>1035.2160000000001</v>
      </c>
      <c r="S57" s="24">
        <f t="shared" si="28"/>
        <v>690.14400000000023</v>
      </c>
      <c r="T57" s="24">
        <f t="shared" si="29"/>
        <v>1380.2880000000005</v>
      </c>
      <c r="U57" s="24">
        <f t="shared" si="30"/>
        <v>2415.5040000000008</v>
      </c>
      <c r="V57" s="182"/>
      <c r="W57" s="178"/>
    </row>
    <row r="58" spans="1:23" s="162" customFormat="1" ht="12.75" x14ac:dyDescent="0.2">
      <c r="A58" s="12">
        <v>36</v>
      </c>
      <c r="B58" s="21" t="s">
        <v>100</v>
      </c>
      <c r="C58" s="13" t="s">
        <v>104</v>
      </c>
      <c r="D58" s="13">
        <v>19.559999999999999</v>
      </c>
      <c r="E58" s="13">
        <v>36.5</v>
      </c>
      <c r="F58" s="14">
        <v>128</v>
      </c>
      <c r="G58" s="12"/>
      <c r="H58" s="12"/>
      <c r="I58" s="12"/>
      <c r="J58" s="12"/>
      <c r="K58" s="12"/>
      <c r="L58" s="12"/>
      <c r="M58" s="13">
        <v>19.559999999999999</v>
      </c>
      <c r="N58" s="24">
        <f t="shared" si="44"/>
        <v>2053.7999999999997</v>
      </c>
      <c r="O58" s="24">
        <f t="shared" si="25"/>
        <v>1334.9699999999998</v>
      </c>
      <c r="P58" s="24"/>
      <c r="Q58" s="24">
        <f t="shared" si="26"/>
        <v>1067.9759999999999</v>
      </c>
      <c r="R58" s="24">
        <f t="shared" si="27"/>
        <v>640.78559999999993</v>
      </c>
      <c r="S58" s="24">
        <f t="shared" si="28"/>
        <v>427.19039999999995</v>
      </c>
      <c r="T58" s="24">
        <f t="shared" si="29"/>
        <v>854.38079999999991</v>
      </c>
      <c r="U58" s="24">
        <f t="shared" si="30"/>
        <v>1495.1663999999998</v>
      </c>
      <c r="V58" s="178"/>
      <c r="W58" s="178"/>
    </row>
    <row r="59" spans="1:23" s="162" customFormat="1" ht="24" x14ac:dyDescent="0.2">
      <c r="A59" s="12">
        <v>37</v>
      </c>
      <c r="B59" s="22" t="s">
        <v>101</v>
      </c>
      <c r="C59" s="16" t="s">
        <v>103</v>
      </c>
      <c r="D59" s="16">
        <f>35+11.77</f>
        <v>46.769999999999996</v>
      </c>
      <c r="E59" s="16">
        <v>0</v>
      </c>
      <c r="F59" s="17"/>
      <c r="G59" s="15"/>
      <c r="H59" s="15"/>
      <c r="I59" s="15"/>
      <c r="J59" s="15"/>
      <c r="K59" s="15"/>
      <c r="L59" s="15"/>
      <c r="M59" s="16">
        <f>35+11.77</f>
        <v>46.769999999999996</v>
      </c>
      <c r="N59" s="26">
        <f t="shared" si="44"/>
        <v>4910.8499999999995</v>
      </c>
      <c r="O59" s="26">
        <f t="shared" si="25"/>
        <v>3192.0524999999998</v>
      </c>
      <c r="P59" s="26"/>
      <c r="Q59" s="26">
        <f t="shared" si="26"/>
        <v>2553.6419999999998</v>
      </c>
      <c r="R59" s="26">
        <f t="shared" si="27"/>
        <v>1532.1851999999999</v>
      </c>
      <c r="S59" s="26">
        <f t="shared" si="28"/>
        <v>1021.4567999999999</v>
      </c>
      <c r="T59" s="26">
        <f t="shared" si="29"/>
        <v>2042.9135999999999</v>
      </c>
      <c r="U59" s="26">
        <f t="shared" si="30"/>
        <v>3575.0987999999998</v>
      </c>
      <c r="V59" s="183"/>
      <c r="W59" s="183"/>
    </row>
    <row r="60" spans="1:23" s="162" customFormat="1" ht="12.75" x14ac:dyDescent="0.2">
      <c r="A60" s="32" t="s">
        <v>123</v>
      </c>
      <c r="B60" s="39" t="s">
        <v>136</v>
      </c>
      <c r="C60" s="39"/>
      <c r="D60" s="32"/>
      <c r="E60" s="32"/>
      <c r="F60" s="33"/>
      <c r="G60" s="32"/>
      <c r="H60" s="32"/>
      <c r="I60" s="32"/>
      <c r="J60" s="32"/>
      <c r="K60" s="32"/>
      <c r="L60" s="32"/>
      <c r="M60" s="34">
        <f t="shared" ref="M60:U60" si="45">M61+M84</f>
        <v>6993.9</v>
      </c>
      <c r="N60" s="34">
        <f t="shared" si="45"/>
        <v>1038196</v>
      </c>
      <c r="O60" s="34">
        <f t="shared" si="45"/>
        <v>763216.2</v>
      </c>
      <c r="P60" s="34">
        <f t="shared" si="45"/>
        <v>0</v>
      </c>
      <c r="Q60" s="34">
        <f t="shared" si="45"/>
        <v>686894.58000000007</v>
      </c>
      <c r="R60" s="34">
        <f t="shared" si="45"/>
        <v>412136.74800000002</v>
      </c>
      <c r="S60" s="34">
        <f t="shared" si="45"/>
        <v>274757.83199999999</v>
      </c>
      <c r="T60" s="34">
        <f t="shared" si="45"/>
        <v>549515.66399999999</v>
      </c>
      <c r="U60" s="34">
        <f t="shared" si="45"/>
        <v>961652.41200000001</v>
      </c>
    </row>
    <row r="61" spans="1:23" s="162" customFormat="1" ht="24" x14ac:dyDescent="0.2">
      <c r="A61" s="35" t="s">
        <v>14</v>
      </c>
      <c r="B61" s="36" t="s">
        <v>121</v>
      </c>
      <c r="C61" s="40"/>
      <c r="D61" s="41"/>
      <c r="E61" s="41"/>
      <c r="F61" s="42"/>
      <c r="G61" s="41"/>
      <c r="H61" s="41"/>
      <c r="I61" s="41"/>
      <c r="J61" s="41"/>
      <c r="K61" s="41"/>
      <c r="L61" s="41"/>
      <c r="M61" s="38">
        <f t="shared" ref="M61:U61" si="46">SUM(M62:M83)</f>
        <v>5524.3</v>
      </c>
      <c r="N61" s="38">
        <f t="shared" si="46"/>
        <v>883888</v>
      </c>
      <c r="O61" s="38">
        <f t="shared" si="46"/>
        <v>662916</v>
      </c>
      <c r="P61" s="38">
        <f t="shared" si="46"/>
        <v>0</v>
      </c>
      <c r="Q61" s="38">
        <f t="shared" si="46"/>
        <v>596624.4</v>
      </c>
      <c r="R61" s="38">
        <f t="shared" si="46"/>
        <v>357974.64</v>
      </c>
      <c r="S61" s="38">
        <f t="shared" si="46"/>
        <v>238649.76</v>
      </c>
      <c r="T61" s="38">
        <f t="shared" si="46"/>
        <v>477299.52</v>
      </c>
      <c r="U61" s="38">
        <f t="shared" si="46"/>
        <v>835274.16</v>
      </c>
    </row>
    <row r="62" spans="1:23" s="162" customFormat="1" ht="12.75" x14ac:dyDescent="0.2">
      <c r="A62" s="12">
        <v>1</v>
      </c>
      <c r="B62" s="117" t="s">
        <v>148</v>
      </c>
      <c r="C62" s="13" t="s">
        <v>45</v>
      </c>
      <c r="D62" s="12"/>
      <c r="E62" s="12"/>
      <c r="F62" s="14"/>
      <c r="G62" s="12"/>
      <c r="H62" s="12"/>
      <c r="I62" s="12"/>
      <c r="J62" s="12"/>
      <c r="K62" s="12"/>
      <c r="L62" s="12"/>
      <c r="M62" s="23">
        <v>225</v>
      </c>
      <c r="N62" s="24">
        <f>M62*160</f>
        <v>36000</v>
      </c>
      <c r="O62" s="24">
        <f t="shared" ref="O62" si="47">N62*0.75</f>
        <v>27000</v>
      </c>
      <c r="P62" s="23"/>
      <c r="Q62" s="24">
        <f t="shared" ref="Q62" si="48">O62*0.9</f>
        <v>24300</v>
      </c>
      <c r="R62" s="24">
        <f t="shared" ref="R62" si="49">Q62*0.6</f>
        <v>14580</v>
      </c>
      <c r="S62" s="24">
        <f t="shared" ref="S62" si="50">Q62*0.4</f>
        <v>9720</v>
      </c>
      <c r="T62" s="24">
        <f t="shared" ref="T62" si="51">S62*2</f>
        <v>19440</v>
      </c>
      <c r="U62" s="24">
        <f t="shared" ref="U62" si="52">R62+T62</f>
        <v>34020</v>
      </c>
    </row>
    <row r="63" spans="1:23" s="162" customFormat="1" ht="12.75" x14ac:dyDescent="0.2">
      <c r="A63" s="12">
        <v>2</v>
      </c>
      <c r="B63" s="20" t="s">
        <v>44</v>
      </c>
      <c r="C63" s="13" t="s">
        <v>45</v>
      </c>
      <c r="D63" s="12"/>
      <c r="E63" s="12"/>
      <c r="F63" s="14"/>
      <c r="G63" s="12"/>
      <c r="H63" s="12"/>
      <c r="I63" s="12"/>
      <c r="J63" s="12"/>
      <c r="K63" s="12"/>
      <c r="L63" s="12"/>
      <c r="M63" s="23">
        <v>490</v>
      </c>
      <c r="N63" s="24">
        <f t="shared" ref="N63:N83" si="53">M63*160</f>
        <v>78400</v>
      </c>
      <c r="O63" s="24">
        <f t="shared" ref="O63:O82" si="54">N63*0.75</f>
        <v>58800</v>
      </c>
      <c r="P63" s="23"/>
      <c r="Q63" s="24">
        <f t="shared" ref="Q63:Q82" si="55">O63*0.9</f>
        <v>52920</v>
      </c>
      <c r="R63" s="24">
        <f t="shared" ref="R63:R82" si="56">Q63*0.6</f>
        <v>31752</v>
      </c>
      <c r="S63" s="24">
        <f t="shared" ref="S63:S82" si="57">Q63*0.4</f>
        <v>21168</v>
      </c>
      <c r="T63" s="24">
        <f t="shared" ref="T63:T82" si="58">S63*2</f>
        <v>42336</v>
      </c>
      <c r="U63" s="24">
        <f t="shared" ref="U63:U82" si="59">R63+T63</f>
        <v>74088</v>
      </c>
    </row>
    <row r="64" spans="1:23" s="162" customFormat="1" ht="24" x14ac:dyDescent="0.2">
      <c r="A64" s="12">
        <v>3</v>
      </c>
      <c r="B64" s="21" t="s">
        <v>47</v>
      </c>
      <c r="C64" s="13" t="s">
        <v>31</v>
      </c>
      <c r="D64" s="12"/>
      <c r="E64" s="12"/>
      <c r="F64" s="14"/>
      <c r="G64" s="12"/>
      <c r="H64" s="12"/>
      <c r="I64" s="12"/>
      <c r="J64" s="12"/>
      <c r="K64" s="12"/>
      <c r="L64" s="12"/>
      <c r="M64" s="23">
        <v>205</v>
      </c>
      <c r="N64" s="24">
        <f t="shared" si="53"/>
        <v>32800</v>
      </c>
      <c r="O64" s="24">
        <f t="shared" si="54"/>
        <v>24600</v>
      </c>
      <c r="P64" s="23"/>
      <c r="Q64" s="24">
        <f t="shared" si="55"/>
        <v>22140</v>
      </c>
      <c r="R64" s="24">
        <f t="shared" si="56"/>
        <v>13284</v>
      </c>
      <c r="S64" s="24">
        <f t="shared" si="57"/>
        <v>8856</v>
      </c>
      <c r="T64" s="24">
        <f t="shared" si="58"/>
        <v>17712</v>
      </c>
      <c r="U64" s="24">
        <f t="shared" si="59"/>
        <v>30996</v>
      </c>
    </row>
    <row r="65" spans="1:21" s="162" customFormat="1" ht="12.75" x14ac:dyDescent="0.2">
      <c r="A65" s="12">
        <v>4</v>
      </c>
      <c r="B65" s="21" t="s">
        <v>167</v>
      </c>
      <c r="C65" s="13" t="s">
        <v>31</v>
      </c>
      <c r="D65" s="12"/>
      <c r="E65" s="12"/>
      <c r="F65" s="14"/>
      <c r="G65" s="12"/>
      <c r="H65" s="12"/>
      <c r="I65" s="12"/>
      <c r="J65" s="12"/>
      <c r="K65" s="12"/>
      <c r="L65" s="12"/>
      <c r="M65" s="23">
        <v>396</v>
      </c>
      <c r="N65" s="24">
        <f t="shared" si="53"/>
        <v>63360</v>
      </c>
      <c r="O65" s="24">
        <f t="shared" ref="O65" si="60">N65*0.75</f>
        <v>47520</v>
      </c>
      <c r="P65" s="23"/>
      <c r="Q65" s="24">
        <f t="shared" ref="Q65" si="61">O65*0.9</f>
        <v>42768</v>
      </c>
      <c r="R65" s="24">
        <f t="shared" ref="R65" si="62">Q65*0.6</f>
        <v>25660.799999999999</v>
      </c>
      <c r="S65" s="24">
        <f t="shared" ref="S65" si="63">Q65*0.4</f>
        <v>17107.2</v>
      </c>
      <c r="T65" s="24">
        <f t="shared" ref="T65" si="64">S65*2</f>
        <v>34214.400000000001</v>
      </c>
      <c r="U65" s="24">
        <f t="shared" ref="U65" si="65">R65+T65</f>
        <v>59875.199999999997</v>
      </c>
    </row>
    <row r="66" spans="1:21" s="162" customFormat="1" ht="12.75" x14ac:dyDescent="0.2">
      <c r="A66" s="12">
        <v>5</v>
      </c>
      <c r="B66" s="21" t="s">
        <v>48</v>
      </c>
      <c r="C66" s="13" t="s">
        <v>31</v>
      </c>
      <c r="D66" s="12"/>
      <c r="E66" s="12"/>
      <c r="F66" s="14"/>
      <c r="G66" s="12"/>
      <c r="H66" s="12"/>
      <c r="I66" s="12"/>
      <c r="J66" s="12"/>
      <c r="K66" s="12"/>
      <c r="L66" s="12"/>
      <c r="M66" s="23">
        <v>140</v>
      </c>
      <c r="N66" s="24">
        <f t="shared" si="53"/>
        <v>22400</v>
      </c>
      <c r="O66" s="24">
        <f t="shared" si="54"/>
        <v>16800</v>
      </c>
      <c r="P66" s="23"/>
      <c r="Q66" s="24">
        <f t="shared" si="55"/>
        <v>15120</v>
      </c>
      <c r="R66" s="24">
        <f t="shared" si="56"/>
        <v>9072</v>
      </c>
      <c r="S66" s="24">
        <f t="shared" si="57"/>
        <v>6048</v>
      </c>
      <c r="T66" s="24">
        <f t="shared" si="58"/>
        <v>12096</v>
      </c>
      <c r="U66" s="24">
        <f t="shared" si="59"/>
        <v>21168</v>
      </c>
    </row>
    <row r="67" spans="1:21" s="162" customFormat="1" ht="36" x14ac:dyDescent="0.2">
      <c r="A67" s="12">
        <v>6</v>
      </c>
      <c r="B67" s="21" t="s">
        <v>49</v>
      </c>
      <c r="C67" s="13" t="s">
        <v>31</v>
      </c>
      <c r="D67" s="12"/>
      <c r="E67" s="12"/>
      <c r="F67" s="14"/>
      <c r="G67" s="12"/>
      <c r="H67" s="12"/>
      <c r="I67" s="12"/>
      <c r="J67" s="12"/>
      <c r="K67" s="12"/>
      <c r="L67" s="12"/>
      <c r="M67" s="23">
        <v>298</v>
      </c>
      <c r="N67" s="24">
        <f t="shared" si="53"/>
        <v>47680</v>
      </c>
      <c r="O67" s="24">
        <f t="shared" si="54"/>
        <v>35760</v>
      </c>
      <c r="P67" s="23"/>
      <c r="Q67" s="24">
        <f t="shared" si="55"/>
        <v>32184</v>
      </c>
      <c r="R67" s="24">
        <f t="shared" si="56"/>
        <v>19310.399999999998</v>
      </c>
      <c r="S67" s="24">
        <f t="shared" si="57"/>
        <v>12873.6</v>
      </c>
      <c r="T67" s="24">
        <f t="shared" si="58"/>
        <v>25747.200000000001</v>
      </c>
      <c r="U67" s="24">
        <f t="shared" si="59"/>
        <v>45057.599999999999</v>
      </c>
    </row>
    <row r="68" spans="1:21" s="162" customFormat="1" ht="36" x14ac:dyDescent="0.2">
      <c r="A68" s="12">
        <v>7</v>
      </c>
      <c r="B68" s="21" t="s">
        <v>50</v>
      </c>
      <c r="C68" s="13" t="s">
        <v>31</v>
      </c>
      <c r="D68" s="12"/>
      <c r="E68" s="12"/>
      <c r="F68" s="14"/>
      <c r="G68" s="12"/>
      <c r="H68" s="12"/>
      <c r="I68" s="12"/>
      <c r="J68" s="12"/>
      <c r="K68" s="12"/>
      <c r="L68" s="12"/>
      <c r="M68" s="23">
        <v>452</v>
      </c>
      <c r="N68" s="24">
        <f t="shared" si="53"/>
        <v>72320</v>
      </c>
      <c r="O68" s="24">
        <f t="shared" si="54"/>
        <v>54240</v>
      </c>
      <c r="P68" s="23"/>
      <c r="Q68" s="24">
        <f t="shared" si="55"/>
        <v>48816</v>
      </c>
      <c r="R68" s="24">
        <f t="shared" si="56"/>
        <v>29289.599999999999</v>
      </c>
      <c r="S68" s="24">
        <f t="shared" si="57"/>
        <v>19526.400000000001</v>
      </c>
      <c r="T68" s="24">
        <f t="shared" si="58"/>
        <v>39052.800000000003</v>
      </c>
      <c r="U68" s="24">
        <f t="shared" si="59"/>
        <v>68342.399999999994</v>
      </c>
    </row>
    <row r="69" spans="1:21" s="162" customFormat="1" ht="12.75" x14ac:dyDescent="0.2">
      <c r="A69" s="12">
        <v>8</v>
      </c>
      <c r="B69" s="21" t="s">
        <v>51</v>
      </c>
      <c r="C69" s="13" t="s">
        <v>31</v>
      </c>
      <c r="D69" s="12"/>
      <c r="E69" s="12"/>
      <c r="F69" s="14"/>
      <c r="G69" s="12"/>
      <c r="H69" s="12"/>
      <c r="I69" s="12"/>
      <c r="J69" s="12"/>
      <c r="K69" s="12"/>
      <c r="L69" s="12"/>
      <c r="M69" s="23">
        <v>185</v>
      </c>
      <c r="N69" s="24">
        <f t="shared" si="53"/>
        <v>29600</v>
      </c>
      <c r="O69" s="24">
        <f t="shared" si="54"/>
        <v>22200</v>
      </c>
      <c r="P69" s="23"/>
      <c r="Q69" s="24">
        <f t="shared" si="55"/>
        <v>19980</v>
      </c>
      <c r="R69" s="24">
        <f t="shared" si="56"/>
        <v>11988</v>
      </c>
      <c r="S69" s="24">
        <f t="shared" si="57"/>
        <v>7992</v>
      </c>
      <c r="T69" s="24">
        <f t="shared" si="58"/>
        <v>15984</v>
      </c>
      <c r="U69" s="24">
        <f t="shared" si="59"/>
        <v>27972</v>
      </c>
    </row>
    <row r="70" spans="1:21" s="162" customFormat="1" ht="24" x14ac:dyDescent="0.2">
      <c r="A70" s="12">
        <v>9</v>
      </c>
      <c r="B70" s="21" t="s">
        <v>144</v>
      </c>
      <c r="C70" s="13" t="s">
        <v>31</v>
      </c>
      <c r="D70" s="12"/>
      <c r="E70" s="12"/>
      <c r="F70" s="14"/>
      <c r="G70" s="12"/>
      <c r="H70" s="12"/>
      <c r="I70" s="12"/>
      <c r="J70" s="12"/>
      <c r="K70" s="12"/>
      <c r="L70" s="12"/>
      <c r="M70" s="23">
        <v>200</v>
      </c>
      <c r="N70" s="24">
        <f t="shared" si="53"/>
        <v>32000</v>
      </c>
      <c r="O70" s="24">
        <f>N70*0.75</f>
        <v>24000</v>
      </c>
      <c r="P70" s="23"/>
      <c r="Q70" s="24">
        <f>O70*0.9</f>
        <v>21600</v>
      </c>
      <c r="R70" s="24">
        <f>Q70*0.6</f>
        <v>12960</v>
      </c>
      <c r="S70" s="24">
        <f>Q70*0.4</f>
        <v>8640</v>
      </c>
      <c r="T70" s="24">
        <f>S70*2</f>
        <v>17280</v>
      </c>
      <c r="U70" s="24">
        <f>R70+T70</f>
        <v>30240</v>
      </c>
    </row>
    <row r="71" spans="1:21" s="162" customFormat="1" ht="36" x14ac:dyDescent="0.2">
      <c r="A71" s="12">
        <v>10</v>
      </c>
      <c r="B71" s="21" t="s">
        <v>52</v>
      </c>
      <c r="C71" s="13" t="s">
        <v>41</v>
      </c>
      <c r="D71" s="12"/>
      <c r="E71" s="12"/>
      <c r="F71" s="14"/>
      <c r="G71" s="12"/>
      <c r="H71" s="12"/>
      <c r="I71" s="12"/>
      <c r="J71" s="12"/>
      <c r="K71" s="12"/>
      <c r="L71" s="12"/>
      <c r="M71" s="23">
        <v>274</v>
      </c>
      <c r="N71" s="24">
        <f t="shared" si="53"/>
        <v>43840</v>
      </c>
      <c r="O71" s="24">
        <f t="shared" si="54"/>
        <v>32880</v>
      </c>
      <c r="P71" s="23"/>
      <c r="Q71" s="24">
        <f t="shared" si="55"/>
        <v>29592</v>
      </c>
      <c r="R71" s="24">
        <f t="shared" si="56"/>
        <v>17755.2</v>
      </c>
      <c r="S71" s="24">
        <f t="shared" si="57"/>
        <v>11836.800000000001</v>
      </c>
      <c r="T71" s="24">
        <f t="shared" si="58"/>
        <v>23673.600000000002</v>
      </c>
      <c r="U71" s="24">
        <f t="shared" si="59"/>
        <v>41428.800000000003</v>
      </c>
    </row>
    <row r="72" spans="1:21" s="162" customFormat="1" ht="36" x14ac:dyDescent="0.2">
      <c r="A72" s="12">
        <v>11</v>
      </c>
      <c r="B72" s="21" t="s">
        <v>53</v>
      </c>
      <c r="C72" s="13" t="s">
        <v>41</v>
      </c>
      <c r="D72" s="12"/>
      <c r="E72" s="12"/>
      <c r="F72" s="14"/>
      <c r="G72" s="12"/>
      <c r="H72" s="12"/>
      <c r="I72" s="12"/>
      <c r="J72" s="12"/>
      <c r="K72" s="12"/>
      <c r="L72" s="12"/>
      <c r="M72" s="23">
        <v>261</v>
      </c>
      <c r="N72" s="24">
        <f t="shared" si="53"/>
        <v>41760</v>
      </c>
      <c r="O72" s="24">
        <f t="shared" si="54"/>
        <v>31320</v>
      </c>
      <c r="P72" s="23"/>
      <c r="Q72" s="24">
        <f t="shared" si="55"/>
        <v>28188</v>
      </c>
      <c r="R72" s="24">
        <f t="shared" si="56"/>
        <v>16912.8</v>
      </c>
      <c r="S72" s="24">
        <f t="shared" si="57"/>
        <v>11275.2</v>
      </c>
      <c r="T72" s="24">
        <f t="shared" si="58"/>
        <v>22550.400000000001</v>
      </c>
      <c r="U72" s="24">
        <f t="shared" si="59"/>
        <v>39463.199999999997</v>
      </c>
    </row>
    <row r="73" spans="1:21" s="162" customFormat="1" ht="24" x14ac:dyDescent="0.2">
      <c r="A73" s="12">
        <v>12</v>
      </c>
      <c r="B73" s="21" t="s">
        <v>54</v>
      </c>
      <c r="C73" s="13" t="s">
        <v>41</v>
      </c>
      <c r="D73" s="12"/>
      <c r="E73" s="12"/>
      <c r="F73" s="14"/>
      <c r="G73" s="12"/>
      <c r="H73" s="12"/>
      <c r="I73" s="12"/>
      <c r="J73" s="12"/>
      <c r="K73" s="12"/>
      <c r="L73" s="12"/>
      <c r="M73" s="23">
        <v>140</v>
      </c>
      <c r="N73" s="24">
        <f t="shared" si="53"/>
        <v>22400</v>
      </c>
      <c r="O73" s="24">
        <f t="shared" si="54"/>
        <v>16800</v>
      </c>
      <c r="P73" s="23"/>
      <c r="Q73" s="24">
        <f t="shared" si="55"/>
        <v>15120</v>
      </c>
      <c r="R73" s="24">
        <f t="shared" si="56"/>
        <v>9072</v>
      </c>
      <c r="S73" s="24">
        <f t="shared" si="57"/>
        <v>6048</v>
      </c>
      <c r="T73" s="24">
        <f t="shared" si="58"/>
        <v>12096</v>
      </c>
      <c r="U73" s="24">
        <f t="shared" si="59"/>
        <v>21168</v>
      </c>
    </row>
    <row r="74" spans="1:21" s="162" customFormat="1" ht="24" x14ac:dyDescent="0.2">
      <c r="A74" s="12">
        <v>13</v>
      </c>
      <c r="B74" s="21" t="s">
        <v>217</v>
      </c>
      <c r="C74" s="13" t="s">
        <v>41</v>
      </c>
      <c r="D74" s="12"/>
      <c r="E74" s="12"/>
      <c r="F74" s="14"/>
      <c r="G74" s="12"/>
      <c r="H74" s="12"/>
      <c r="I74" s="12"/>
      <c r="J74" s="12"/>
      <c r="K74" s="12"/>
      <c r="L74" s="12"/>
      <c r="M74" s="23">
        <v>222</v>
      </c>
      <c r="N74" s="24">
        <f t="shared" si="53"/>
        <v>35520</v>
      </c>
      <c r="O74" s="24">
        <f t="shared" si="54"/>
        <v>26640</v>
      </c>
      <c r="P74" s="23"/>
      <c r="Q74" s="24">
        <f t="shared" si="55"/>
        <v>23976</v>
      </c>
      <c r="R74" s="24">
        <f t="shared" si="56"/>
        <v>14385.6</v>
      </c>
      <c r="S74" s="24">
        <f t="shared" si="57"/>
        <v>9590.4</v>
      </c>
      <c r="T74" s="24">
        <f t="shared" si="58"/>
        <v>19180.8</v>
      </c>
      <c r="U74" s="24">
        <f t="shared" si="59"/>
        <v>33566.400000000001</v>
      </c>
    </row>
    <row r="75" spans="1:21" s="162" customFormat="1" ht="24" x14ac:dyDescent="0.2">
      <c r="A75" s="12">
        <v>14</v>
      </c>
      <c r="B75" s="21" t="s">
        <v>55</v>
      </c>
      <c r="C75" s="13" t="s">
        <v>56</v>
      </c>
      <c r="D75" s="12"/>
      <c r="E75" s="12"/>
      <c r="F75" s="14"/>
      <c r="G75" s="12"/>
      <c r="H75" s="12"/>
      <c r="I75" s="12"/>
      <c r="J75" s="12"/>
      <c r="K75" s="12"/>
      <c r="L75" s="12"/>
      <c r="M75" s="23">
        <v>230</v>
      </c>
      <c r="N75" s="24">
        <f t="shared" si="53"/>
        <v>36800</v>
      </c>
      <c r="O75" s="24">
        <f t="shared" si="54"/>
        <v>27600</v>
      </c>
      <c r="P75" s="23"/>
      <c r="Q75" s="24">
        <f t="shared" si="55"/>
        <v>24840</v>
      </c>
      <c r="R75" s="24">
        <f t="shared" si="56"/>
        <v>14904</v>
      </c>
      <c r="S75" s="24">
        <f t="shared" si="57"/>
        <v>9936</v>
      </c>
      <c r="T75" s="24">
        <f t="shared" si="58"/>
        <v>19872</v>
      </c>
      <c r="U75" s="24">
        <f t="shared" si="59"/>
        <v>34776</v>
      </c>
    </row>
    <row r="76" spans="1:21" s="162" customFormat="1" ht="24" x14ac:dyDescent="0.2">
      <c r="A76" s="12">
        <v>15</v>
      </c>
      <c r="B76" s="21" t="s">
        <v>57</v>
      </c>
      <c r="C76" s="13" t="s">
        <v>56</v>
      </c>
      <c r="D76" s="12"/>
      <c r="E76" s="12"/>
      <c r="F76" s="14"/>
      <c r="G76" s="12"/>
      <c r="H76" s="12"/>
      <c r="I76" s="12"/>
      <c r="J76" s="12"/>
      <c r="K76" s="12"/>
      <c r="L76" s="12"/>
      <c r="M76" s="23">
        <v>215</v>
      </c>
      <c r="N76" s="24">
        <f t="shared" si="53"/>
        <v>34400</v>
      </c>
      <c r="O76" s="24">
        <f>N76*0.75</f>
        <v>25800</v>
      </c>
      <c r="P76" s="23"/>
      <c r="Q76" s="24">
        <f>O76*0.9</f>
        <v>23220</v>
      </c>
      <c r="R76" s="24">
        <f>Q76*0.6</f>
        <v>13932</v>
      </c>
      <c r="S76" s="24">
        <f>Q76*0.4</f>
        <v>9288</v>
      </c>
      <c r="T76" s="24">
        <f>S76*2</f>
        <v>18576</v>
      </c>
      <c r="U76" s="24">
        <f>R76+T76</f>
        <v>32508</v>
      </c>
    </row>
    <row r="77" spans="1:21" s="162" customFormat="1" ht="12.75" x14ac:dyDescent="0.2">
      <c r="A77" s="12">
        <v>16</v>
      </c>
      <c r="B77" s="21" t="s">
        <v>145</v>
      </c>
      <c r="C77" s="13" t="s">
        <v>78</v>
      </c>
      <c r="D77" s="12"/>
      <c r="E77" s="12"/>
      <c r="F77" s="14"/>
      <c r="G77" s="12"/>
      <c r="H77" s="12"/>
      <c r="I77" s="12"/>
      <c r="J77" s="12"/>
      <c r="K77" s="12"/>
      <c r="L77" s="12"/>
      <c r="M77" s="23">
        <v>150</v>
      </c>
      <c r="N77" s="24">
        <f t="shared" si="53"/>
        <v>24000</v>
      </c>
      <c r="O77" s="24">
        <f t="shared" si="54"/>
        <v>18000</v>
      </c>
      <c r="P77" s="23"/>
      <c r="Q77" s="24">
        <f t="shared" si="55"/>
        <v>16200</v>
      </c>
      <c r="R77" s="24">
        <f t="shared" si="56"/>
        <v>9720</v>
      </c>
      <c r="S77" s="24">
        <f t="shared" si="57"/>
        <v>6480</v>
      </c>
      <c r="T77" s="24">
        <f t="shared" si="58"/>
        <v>12960</v>
      </c>
      <c r="U77" s="24">
        <f t="shared" si="59"/>
        <v>22680</v>
      </c>
    </row>
    <row r="78" spans="1:21" s="162" customFormat="1" ht="12.75" x14ac:dyDescent="0.2">
      <c r="A78" s="12">
        <v>17</v>
      </c>
      <c r="B78" s="21" t="s">
        <v>147</v>
      </c>
      <c r="C78" s="13" t="s">
        <v>78</v>
      </c>
      <c r="D78" s="12"/>
      <c r="E78" s="12"/>
      <c r="F78" s="14"/>
      <c r="G78" s="12"/>
      <c r="H78" s="12"/>
      <c r="I78" s="12"/>
      <c r="J78" s="12"/>
      <c r="K78" s="12"/>
      <c r="L78" s="12"/>
      <c r="M78" s="23">
        <v>125</v>
      </c>
      <c r="N78" s="24">
        <f t="shared" si="53"/>
        <v>20000</v>
      </c>
      <c r="O78" s="24">
        <f t="shared" ref="O78:O79" si="66">N78*0.75</f>
        <v>15000</v>
      </c>
      <c r="P78" s="23"/>
      <c r="Q78" s="24">
        <f t="shared" ref="Q78:Q79" si="67">O78*0.9</f>
        <v>13500</v>
      </c>
      <c r="R78" s="24">
        <f t="shared" ref="R78:R79" si="68">Q78*0.6</f>
        <v>8100</v>
      </c>
      <c r="S78" s="24">
        <f t="shared" ref="S78:S79" si="69">Q78*0.4</f>
        <v>5400</v>
      </c>
      <c r="T78" s="24">
        <f t="shared" ref="T78:T79" si="70">S78*2</f>
        <v>10800</v>
      </c>
      <c r="U78" s="24">
        <f t="shared" ref="U78:U79" si="71">R78+T78</f>
        <v>18900</v>
      </c>
    </row>
    <row r="79" spans="1:21" s="162" customFormat="1" ht="12.75" x14ac:dyDescent="0.2">
      <c r="A79" s="12">
        <v>18</v>
      </c>
      <c r="B79" s="43" t="s">
        <v>168</v>
      </c>
      <c r="C79" s="44" t="s">
        <v>78</v>
      </c>
      <c r="D79" s="45"/>
      <c r="E79" s="45"/>
      <c r="F79" s="46"/>
      <c r="G79" s="45"/>
      <c r="H79" s="45"/>
      <c r="I79" s="45"/>
      <c r="J79" s="45"/>
      <c r="K79" s="45"/>
      <c r="L79" s="45"/>
      <c r="M79" s="47">
        <v>140</v>
      </c>
      <c r="N79" s="24">
        <f t="shared" si="53"/>
        <v>22400</v>
      </c>
      <c r="O79" s="24">
        <f t="shared" si="66"/>
        <v>16800</v>
      </c>
      <c r="P79" s="48"/>
      <c r="Q79" s="24">
        <f t="shared" si="67"/>
        <v>15120</v>
      </c>
      <c r="R79" s="24">
        <f t="shared" si="68"/>
        <v>9072</v>
      </c>
      <c r="S79" s="24">
        <f t="shared" si="69"/>
        <v>6048</v>
      </c>
      <c r="T79" s="24">
        <f t="shared" si="70"/>
        <v>12096</v>
      </c>
      <c r="U79" s="24">
        <f t="shared" si="71"/>
        <v>21168</v>
      </c>
    </row>
    <row r="80" spans="1:21" s="162" customFormat="1" ht="24" x14ac:dyDescent="0.2">
      <c r="A80" s="12">
        <v>19</v>
      </c>
      <c r="B80" s="117" t="s">
        <v>169</v>
      </c>
      <c r="C80" s="13" t="s">
        <v>40</v>
      </c>
      <c r="D80" s="12"/>
      <c r="E80" s="12"/>
      <c r="F80" s="14"/>
      <c r="G80" s="12"/>
      <c r="H80" s="12"/>
      <c r="I80" s="12"/>
      <c r="J80" s="12"/>
      <c r="K80" s="12"/>
      <c r="L80" s="12"/>
      <c r="M80" s="23">
        <v>296.3</v>
      </c>
      <c r="N80" s="24">
        <f t="shared" si="53"/>
        <v>47408</v>
      </c>
      <c r="O80" s="24">
        <f t="shared" ref="O80" si="72">N80*0.75</f>
        <v>35556</v>
      </c>
      <c r="P80" s="23"/>
      <c r="Q80" s="24">
        <f>O80*0.9</f>
        <v>32000.400000000001</v>
      </c>
      <c r="R80" s="24">
        <f>Q80*0.6</f>
        <v>19200.240000000002</v>
      </c>
      <c r="S80" s="24">
        <f>Q80*0.4</f>
        <v>12800.160000000002</v>
      </c>
      <c r="T80" s="24">
        <f>S80*2</f>
        <v>25600.320000000003</v>
      </c>
      <c r="U80" s="24">
        <f>R80+T80</f>
        <v>44800.560000000005</v>
      </c>
    </row>
    <row r="81" spans="1:23" s="183" customFormat="1" ht="24" x14ac:dyDescent="0.2">
      <c r="A81" s="12">
        <v>20</v>
      </c>
      <c r="B81" s="21" t="s">
        <v>59</v>
      </c>
      <c r="C81" s="13" t="s">
        <v>40</v>
      </c>
      <c r="D81" s="12"/>
      <c r="E81" s="12"/>
      <c r="F81" s="14"/>
      <c r="G81" s="12"/>
      <c r="H81" s="12"/>
      <c r="I81" s="12"/>
      <c r="J81" s="12"/>
      <c r="K81" s="12"/>
      <c r="L81" s="12"/>
      <c r="M81" s="23">
        <v>330</v>
      </c>
      <c r="N81" s="24">
        <f t="shared" si="53"/>
        <v>52800</v>
      </c>
      <c r="O81" s="24">
        <f t="shared" si="54"/>
        <v>39600</v>
      </c>
      <c r="P81" s="23"/>
      <c r="Q81" s="24">
        <f t="shared" si="55"/>
        <v>35640</v>
      </c>
      <c r="R81" s="24">
        <f t="shared" si="56"/>
        <v>21384</v>
      </c>
      <c r="S81" s="24">
        <f t="shared" si="57"/>
        <v>14256</v>
      </c>
      <c r="T81" s="24">
        <f t="shared" si="58"/>
        <v>28512</v>
      </c>
      <c r="U81" s="24">
        <f t="shared" si="59"/>
        <v>49896</v>
      </c>
      <c r="V81" s="162"/>
      <c r="W81" s="162"/>
    </row>
    <row r="82" spans="1:23" s="162" customFormat="1" ht="24" x14ac:dyDescent="0.2">
      <c r="A82" s="12">
        <v>21</v>
      </c>
      <c r="B82" s="21" t="s">
        <v>146</v>
      </c>
      <c r="C82" s="13" t="s">
        <v>40</v>
      </c>
      <c r="D82" s="12"/>
      <c r="E82" s="12"/>
      <c r="F82" s="14"/>
      <c r="G82" s="12"/>
      <c r="H82" s="12"/>
      <c r="I82" s="12"/>
      <c r="J82" s="12"/>
      <c r="K82" s="12"/>
      <c r="L82" s="12"/>
      <c r="M82" s="27">
        <v>360</v>
      </c>
      <c r="N82" s="24">
        <f t="shared" si="53"/>
        <v>57600</v>
      </c>
      <c r="O82" s="24">
        <f t="shared" si="54"/>
        <v>43200</v>
      </c>
      <c r="P82" s="23"/>
      <c r="Q82" s="24">
        <f t="shared" si="55"/>
        <v>38880</v>
      </c>
      <c r="R82" s="24">
        <f t="shared" si="56"/>
        <v>23328</v>
      </c>
      <c r="S82" s="24">
        <f t="shared" si="57"/>
        <v>15552</v>
      </c>
      <c r="T82" s="24">
        <f t="shared" si="58"/>
        <v>31104</v>
      </c>
      <c r="U82" s="24">
        <f t="shared" si="59"/>
        <v>54432</v>
      </c>
    </row>
    <row r="83" spans="1:23" s="162" customFormat="1" ht="24" x14ac:dyDescent="0.2">
      <c r="A83" s="12">
        <v>22</v>
      </c>
      <c r="B83" s="43" t="s">
        <v>165</v>
      </c>
      <c r="C83" s="13" t="s">
        <v>40</v>
      </c>
      <c r="D83" s="45"/>
      <c r="E83" s="45"/>
      <c r="F83" s="46"/>
      <c r="G83" s="45"/>
      <c r="H83" s="45"/>
      <c r="I83" s="45"/>
      <c r="J83" s="45"/>
      <c r="K83" s="45"/>
      <c r="L83" s="45"/>
      <c r="M83" s="27">
        <v>190</v>
      </c>
      <c r="N83" s="24">
        <f t="shared" si="53"/>
        <v>30400</v>
      </c>
      <c r="O83" s="24">
        <f t="shared" ref="O83" si="73">N83*0.75</f>
        <v>22800</v>
      </c>
      <c r="P83" s="23"/>
      <c r="Q83" s="24">
        <f t="shared" ref="Q83" si="74">O83*0.9</f>
        <v>20520</v>
      </c>
      <c r="R83" s="24">
        <f t="shared" ref="R83" si="75">Q83*0.6</f>
        <v>12312</v>
      </c>
      <c r="S83" s="24">
        <f t="shared" ref="S83" si="76">Q83*0.4</f>
        <v>8208</v>
      </c>
      <c r="T83" s="24">
        <f t="shared" ref="T83" si="77">S83*2</f>
        <v>16416</v>
      </c>
      <c r="U83" s="24">
        <f t="shared" ref="U83" si="78">R83+T83</f>
        <v>28728</v>
      </c>
    </row>
    <row r="84" spans="1:23" s="162" customFormat="1" ht="12.75" x14ac:dyDescent="0.2">
      <c r="A84" s="49" t="s">
        <v>15</v>
      </c>
      <c r="B84" s="50" t="s">
        <v>60</v>
      </c>
      <c r="C84" s="50"/>
      <c r="D84" s="49"/>
      <c r="E84" s="49"/>
      <c r="F84" s="51"/>
      <c r="G84" s="49"/>
      <c r="H84" s="49"/>
      <c r="I84" s="49"/>
      <c r="J84" s="49"/>
      <c r="K84" s="49"/>
      <c r="L84" s="49"/>
      <c r="M84" s="52">
        <f t="shared" ref="M84:U84" si="79">SUM(M85:M112)</f>
        <v>1469.6</v>
      </c>
      <c r="N84" s="52">
        <f t="shared" si="79"/>
        <v>154308</v>
      </c>
      <c r="O84" s="52">
        <f t="shared" si="79"/>
        <v>100300.2</v>
      </c>
      <c r="P84" s="52">
        <f t="shared" si="79"/>
        <v>0</v>
      </c>
      <c r="Q84" s="52">
        <f t="shared" si="79"/>
        <v>90270.18</v>
      </c>
      <c r="R84" s="52">
        <f t="shared" si="79"/>
        <v>54162.108</v>
      </c>
      <c r="S84" s="52">
        <f t="shared" si="79"/>
        <v>36108.072000000007</v>
      </c>
      <c r="T84" s="52">
        <f t="shared" si="79"/>
        <v>72216.144000000015</v>
      </c>
      <c r="U84" s="52">
        <f t="shared" si="79"/>
        <v>126378.25199999998</v>
      </c>
    </row>
    <row r="85" spans="1:23" s="162" customFormat="1" ht="12.75" x14ac:dyDescent="0.2">
      <c r="A85" s="12">
        <v>1</v>
      </c>
      <c r="B85" s="21" t="s">
        <v>175</v>
      </c>
      <c r="C85" s="13" t="s">
        <v>31</v>
      </c>
      <c r="D85" s="12"/>
      <c r="E85" s="12"/>
      <c r="F85" s="14"/>
      <c r="G85" s="12"/>
      <c r="H85" s="12"/>
      <c r="I85" s="12"/>
      <c r="J85" s="12"/>
      <c r="K85" s="12"/>
      <c r="L85" s="12"/>
      <c r="M85" s="28">
        <v>42.6</v>
      </c>
      <c r="N85" s="24">
        <f>M85*105</f>
        <v>4473</v>
      </c>
      <c r="O85" s="24">
        <f>N85*0.65</f>
        <v>2907.4500000000003</v>
      </c>
      <c r="P85" s="23"/>
      <c r="Q85" s="24">
        <f>O85*0.9</f>
        <v>2616.7050000000004</v>
      </c>
      <c r="R85" s="24">
        <f>Q85*0.6</f>
        <v>1570.0230000000001</v>
      </c>
      <c r="S85" s="24">
        <f>Q85*0.4</f>
        <v>1046.6820000000002</v>
      </c>
      <c r="T85" s="24">
        <f>S85*2</f>
        <v>2093.3640000000005</v>
      </c>
      <c r="U85" s="24">
        <f>R85+T85</f>
        <v>3663.3870000000006</v>
      </c>
    </row>
    <row r="86" spans="1:23" s="162" customFormat="1" ht="24" x14ac:dyDescent="0.2">
      <c r="A86" s="12">
        <v>2</v>
      </c>
      <c r="B86" s="21" t="s">
        <v>176</v>
      </c>
      <c r="C86" s="13"/>
      <c r="D86" s="12"/>
      <c r="E86" s="12"/>
      <c r="F86" s="14"/>
      <c r="G86" s="12"/>
      <c r="H86" s="12"/>
      <c r="I86" s="12"/>
      <c r="J86" s="12"/>
      <c r="K86" s="12"/>
      <c r="L86" s="12"/>
      <c r="M86" s="28">
        <v>75</v>
      </c>
      <c r="N86" s="24">
        <f t="shared" ref="N86:N109" si="80">M86*105</f>
        <v>7875</v>
      </c>
      <c r="O86" s="24">
        <f t="shared" ref="O86:O110" si="81">N86*0.65</f>
        <v>5118.75</v>
      </c>
      <c r="P86" s="23"/>
      <c r="Q86" s="24">
        <f t="shared" ref="Q86:Q109" si="82">O86*0.9</f>
        <v>4606.875</v>
      </c>
      <c r="R86" s="24">
        <f t="shared" ref="R86:R109" si="83">Q86*0.6</f>
        <v>2764.125</v>
      </c>
      <c r="S86" s="24">
        <f t="shared" ref="S86:S109" si="84">Q86*0.4</f>
        <v>1842.75</v>
      </c>
      <c r="T86" s="24">
        <f t="shared" ref="T86:T109" si="85">S86*2</f>
        <v>3685.5</v>
      </c>
      <c r="U86" s="24">
        <f t="shared" ref="U86:U109" si="86">R86+T86</f>
        <v>6449.625</v>
      </c>
    </row>
    <row r="87" spans="1:23" s="162" customFormat="1" ht="12.75" x14ac:dyDescent="0.2">
      <c r="A87" s="12">
        <v>3</v>
      </c>
      <c r="B87" s="21" t="s">
        <v>72</v>
      </c>
      <c r="C87" s="13"/>
      <c r="D87" s="12"/>
      <c r="E87" s="12"/>
      <c r="F87" s="14"/>
      <c r="G87" s="12"/>
      <c r="H87" s="12"/>
      <c r="I87" s="12"/>
      <c r="J87" s="12"/>
      <c r="K87" s="12"/>
      <c r="L87" s="12"/>
      <c r="M87" s="28">
        <v>75</v>
      </c>
      <c r="N87" s="24">
        <f t="shared" si="80"/>
        <v>7875</v>
      </c>
      <c r="O87" s="24">
        <f t="shared" si="81"/>
        <v>5118.75</v>
      </c>
      <c r="P87" s="23"/>
      <c r="Q87" s="24">
        <f t="shared" si="82"/>
        <v>4606.875</v>
      </c>
      <c r="R87" s="24">
        <f t="shared" si="83"/>
        <v>2764.125</v>
      </c>
      <c r="S87" s="24">
        <f t="shared" si="84"/>
        <v>1842.75</v>
      </c>
      <c r="T87" s="24">
        <f t="shared" si="85"/>
        <v>3685.5</v>
      </c>
      <c r="U87" s="24">
        <f t="shared" si="86"/>
        <v>6449.625</v>
      </c>
    </row>
    <row r="88" spans="1:23" s="162" customFormat="1" ht="12.75" x14ac:dyDescent="0.2">
      <c r="A88" s="12">
        <v>4</v>
      </c>
      <c r="B88" s="21" t="s">
        <v>73</v>
      </c>
      <c r="C88" s="13"/>
      <c r="D88" s="12"/>
      <c r="E88" s="12"/>
      <c r="F88" s="14"/>
      <c r="G88" s="12"/>
      <c r="H88" s="12"/>
      <c r="I88" s="12"/>
      <c r="J88" s="12"/>
      <c r="K88" s="12"/>
      <c r="L88" s="12"/>
      <c r="M88" s="28">
        <v>75</v>
      </c>
      <c r="N88" s="24">
        <f t="shared" si="80"/>
        <v>7875</v>
      </c>
      <c r="O88" s="24">
        <f t="shared" si="81"/>
        <v>5118.75</v>
      </c>
      <c r="P88" s="23"/>
      <c r="Q88" s="24">
        <f t="shared" si="82"/>
        <v>4606.875</v>
      </c>
      <c r="R88" s="24">
        <f t="shared" si="83"/>
        <v>2764.125</v>
      </c>
      <c r="S88" s="24">
        <f t="shared" si="84"/>
        <v>1842.75</v>
      </c>
      <c r="T88" s="24">
        <f t="shared" si="85"/>
        <v>3685.5</v>
      </c>
      <c r="U88" s="24">
        <f t="shared" si="86"/>
        <v>6449.625</v>
      </c>
    </row>
    <row r="89" spans="1:23" s="162" customFormat="1" ht="12.75" x14ac:dyDescent="0.2">
      <c r="A89" s="12">
        <v>5</v>
      </c>
      <c r="B89" s="21" t="s">
        <v>76</v>
      </c>
      <c r="C89" s="13" t="s">
        <v>41</v>
      </c>
      <c r="D89" s="12"/>
      <c r="E89" s="12"/>
      <c r="F89" s="14"/>
      <c r="G89" s="12"/>
      <c r="H89" s="12"/>
      <c r="I89" s="12"/>
      <c r="J89" s="12"/>
      <c r="K89" s="12"/>
      <c r="L89" s="12"/>
      <c r="M89" s="24">
        <v>75</v>
      </c>
      <c r="N89" s="24">
        <f t="shared" si="80"/>
        <v>7875</v>
      </c>
      <c r="O89" s="24">
        <f t="shared" si="81"/>
        <v>5118.75</v>
      </c>
      <c r="P89" s="23"/>
      <c r="Q89" s="24">
        <f t="shared" si="82"/>
        <v>4606.875</v>
      </c>
      <c r="R89" s="24">
        <f t="shared" si="83"/>
        <v>2764.125</v>
      </c>
      <c r="S89" s="24">
        <f t="shared" si="84"/>
        <v>1842.75</v>
      </c>
      <c r="T89" s="24">
        <f t="shared" si="85"/>
        <v>3685.5</v>
      </c>
      <c r="U89" s="24">
        <f t="shared" si="86"/>
        <v>6449.625</v>
      </c>
    </row>
    <row r="90" spans="1:23" s="162" customFormat="1" ht="12.75" x14ac:dyDescent="0.2">
      <c r="A90" s="12">
        <v>6</v>
      </c>
      <c r="B90" s="21" t="s">
        <v>149</v>
      </c>
      <c r="C90" s="13"/>
      <c r="D90" s="12"/>
      <c r="E90" s="12"/>
      <c r="F90" s="14"/>
      <c r="G90" s="12"/>
      <c r="H90" s="12"/>
      <c r="I90" s="12"/>
      <c r="J90" s="12"/>
      <c r="K90" s="12"/>
      <c r="L90" s="12"/>
      <c r="M90" s="24">
        <v>75</v>
      </c>
      <c r="N90" s="24">
        <f t="shared" si="80"/>
        <v>7875</v>
      </c>
      <c r="O90" s="24">
        <f t="shared" si="81"/>
        <v>5118.75</v>
      </c>
      <c r="P90" s="23"/>
      <c r="Q90" s="24">
        <f t="shared" si="82"/>
        <v>4606.875</v>
      </c>
      <c r="R90" s="24">
        <f t="shared" si="83"/>
        <v>2764.125</v>
      </c>
      <c r="S90" s="24">
        <f t="shared" si="84"/>
        <v>1842.75</v>
      </c>
      <c r="T90" s="24">
        <f t="shared" si="85"/>
        <v>3685.5</v>
      </c>
      <c r="U90" s="24">
        <f t="shared" si="86"/>
        <v>6449.625</v>
      </c>
    </row>
    <row r="91" spans="1:23" s="162" customFormat="1" ht="24" x14ac:dyDescent="0.2">
      <c r="A91" s="12">
        <v>7</v>
      </c>
      <c r="B91" s="21" t="s">
        <v>150</v>
      </c>
      <c r="C91" s="13"/>
      <c r="D91" s="12"/>
      <c r="E91" s="12"/>
      <c r="F91" s="14"/>
      <c r="G91" s="12"/>
      <c r="H91" s="12"/>
      <c r="I91" s="12"/>
      <c r="J91" s="12"/>
      <c r="K91" s="12"/>
      <c r="L91" s="12"/>
      <c r="M91" s="24">
        <v>75</v>
      </c>
      <c r="N91" s="24">
        <f t="shared" si="80"/>
        <v>7875</v>
      </c>
      <c r="O91" s="24">
        <f t="shared" si="81"/>
        <v>5118.75</v>
      </c>
      <c r="P91" s="23"/>
      <c r="Q91" s="24">
        <f t="shared" si="82"/>
        <v>4606.875</v>
      </c>
      <c r="R91" s="24">
        <f t="shared" si="83"/>
        <v>2764.125</v>
      </c>
      <c r="S91" s="24">
        <f t="shared" si="84"/>
        <v>1842.75</v>
      </c>
      <c r="T91" s="24">
        <f t="shared" si="85"/>
        <v>3685.5</v>
      </c>
      <c r="U91" s="24">
        <f t="shared" si="86"/>
        <v>6449.625</v>
      </c>
    </row>
    <row r="92" spans="1:23" s="162" customFormat="1" ht="24" x14ac:dyDescent="0.2">
      <c r="A92" s="12">
        <v>8</v>
      </c>
      <c r="B92" s="21" t="s">
        <v>177</v>
      </c>
      <c r="C92" s="13"/>
      <c r="D92" s="12"/>
      <c r="E92" s="12"/>
      <c r="F92" s="14"/>
      <c r="G92" s="12"/>
      <c r="H92" s="12"/>
      <c r="I92" s="12"/>
      <c r="J92" s="12"/>
      <c r="K92" s="12"/>
      <c r="L92" s="12"/>
      <c r="M92" s="24">
        <v>75</v>
      </c>
      <c r="N92" s="24">
        <f t="shared" si="80"/>
        <v>7875</v>
      </c>
      <c r="O92" s="24">
        <f t="shared" si="81"/>
        <v>5118.75</v>
      </c>
      <c r="P92" s="23"/>
      <c r="Q92" s="24">
        <f t="shared" si="82"/>
        <v>4606.875</v>
      </c>
      <c r="R92" s="24">
        <f t="shared" si="83"/>
        <v>2764.125</v>
      </c>
      <c r="S92" s="24">
        <f t="shared" si="84"/>
        <v>1842.75</v>
      </c>
      <c r="T92" s="24">
        <f t="shared" si="85"/>
        <v>3685.5</v>
      </c>
      <c r="U92" s="24">
        <f t="shared" si="86"/>
        <v>6449.625</v>
      </c>
    </row>
    <row r="93" spans="1:23" s="162" customFormat="1" ht="12.75" x14ac:dyDescent="0.2">
      <c r="A93" s="12">
        <v>9</v>
      </c>
      <c r="B93" s="21" t="s">
        <v>180</v>
      </c>
      <c r="C93" s="13"/>
      <c r="D93" s="12"/>
      <c r="E93" s="12"/>
      <c r="F93" s="14"/>
      <c r="G93" s="12"/>
      <c r="H93" s="12"/>
      <c r="I93" s="12"/>
      <c r="J93" s="12"/>
      <c r="K93" s="12"/>
      <c r="L93" s="12"/>
      <c r="M93" s="24">
        <v>40</v>
      </c>
      <c r="N93" s="24">
        <f t="shared" si="80"/>
        <v>4200</v>
      </c>
      <c r="O93" s="24">
        <f t="shared" si="81"/>
        <v>2730</v>
      </c>
      <c r="P93" s="23"/>
      <c r="Q93" s="24">
        <f t="shared" si="82"/>
        <v>2457</v>
      </c>
      <c r="R93" s="24">
        <f t="shared" si="83"/>
        <v>1474.2</v>
      </c>
      <c r="S93" s="24">
        <f t="shared" si="84"/>
        <v>982.80000000000007</v>
      </c>
      <c r="T93" s="24">
        <f t="shared" si="85"/>
        <v>1965.6000000000001</v>
      </c>
      <c r="U93" s="24">
        <f t="shared" si="86"/>
        <v>3439.8</v>
      </c>
    </row>
    <row r="94" spans="1:23" s="162" customFormat="1" ht="12.75" x14ac:dyDescent="0.2">
      <c r="A94" s="12">
        <v>10</v>
      </c>
      <c r="B94" s="21" t="s">
        <v>115</v>
      </c>
      <c r="C94" s="13" t="s">
        <v>78</v>
      </c>
      <c r="D94" s="12"/>
      <c r="E94" s="12"/>
      <c r="F94" s="14"/>
      <c r="G94" s="12"/>
      <c r="H94" s="12"/>
      <c r="I94" s="12"/>
      <c r="J94" s="12"/>
      <c r="K94" s="12"/>
      <c r="L94" s="12"/>
      <c r="M94" s="24">
        <v>66</v>
      </c>
      <c r="N94" s="24">
        <f t="shared" si="80"/>
        <v>6930</v>
      </c>
      <c r="O94" s="24">
        <f t="shared" si="81"/>
        <v>4504.5</v>
      </c>
      <c r="P94" s="23"/>
      <c r="Q94" s="24">
        <f t="shared" si="82"/>
        <v>4054.05</v>
      </c>
      <c r="R94" s="24">
        <f t="shared" si="83"/>
        <v>2432.4299999999998</v>
      </c>
      <c r="S94" s="24">
        <f t="shared" si="84"/>
        <v>1621.6200000000001</v>
      </c>
      <c r="T94" s="24">
        <f t="shared" si="85"/>
        <v>3243.2400000000002</v>
      </c>
      <c r="U94" s="24">
        <f t="shared" si="86"/>
        <v>5675.67</v>
      </c>
    </row>
    <row r="95" spans="1:23" s="162" customFormat="1" ht="12.75" x14ac:dyDescent="0.2">
      <c r="A95" s="12">
        <v>11</v>
      </c>
      <c r="B95" s="21" t="s">
        <v>77</v>
      </c>
      <c r="C95" s="13" t="s">
        <v>78</v>
      </c>
      <c r="D95" s="12"/>
      <c r="E95" s="12"/>
      <c r="F95" s="14"/>
      <c r="G95" s="12"/>
      <c r="H95" s="12"/>
      <c r="I95" s="12"/>
      <c r="J95" s="12"/>
      <c r="K95" s="12"/>
      <c r="L95" s="12"/>
      <c r="M95" s="24">
        <v>52</v>
      </c>
      <c r="N95" s="24">
        <f t="shared" si="80"/>
        <v>5460</v>
      </c>
      <c r="O95" s="24">
        <f t="shared" si="81"/>
        <v>3549</v>
      </c>
      <c r="P95" s="23"/>
      <c r="Q95" s="24">
        <f t="shared" si="82"/>
        <v>3194.1</v>
      </c>
      <c r="R95" s="24">
        <f t="shared" si="83"/>
        <v>1916.4599999999998</v>
      </c>
      <c r="S95" s="24">
        <f t="shared" si="84"/>
        <v>1277.6400000000001</v>
      </c>
      <c r="T95" s="24">
        <f t="shared" si="85"/>
        <v>2555.2800000000002</v>
      </c>
      <c r="U95" s="24">
        <f t="shared" si="86"/>
        <v>4471.74</v>
      </c>
    </row>
    <row r="96" spans="1:23" s="162" customFormat="1" ht="12.75" x14ac:dyDescent="0.2">
      <c r="A96" s="12">
        <v>12</v>
      </c>
      <c r="B96" s="21" t="s">
        <v>120</v>
      </c>
      <c r="C96" s="13"/>
      <c r="D96" s="12"/>
      <c r="E96" s="12"/>
      <c r="F96" s="14"/>
      <c r="G96" s="12"/>
      <c r="H96" s="12"/>
      <c r="I96" s="12"/>
      <c r="J96" s="12"/>
      <c r="K96" s="12"/>
      <c r="L96" s="12"/>
      <c r="M96" s="24">
        <v>49</v>
      </c>
      <c r="N96" s="24">
        <f t="shared" si="80"/>
        <v>5145</v>
      </c>
      <c r="O96" s="24">
        <f t="shared" si="81"/>
        <v>3344.25</v>
      </c>
      <c r="P96" s="23"/>
      <c r="Q96" s="24">
        <f t="shared" si="82"/>
        <v>3009.8250000000003</v>
      </c>
      <c r="R96" s="24">
        <f t="shared" si="83"/>
        <v>1805.8950000000002</v>
      </c>
      <c r="S96" s="24">
        <f t="shared" si="84"/>
        <v>1203.93</v>
      </c>
      <c r="T96" s="24">
        <f t="shared" si="85"/>
        <v>2407.86</v>
      </c>
      <c r="U96" s="24">
        <f t="shared" si="86"/>
        <v>4213.7550000000001</v>
      </c>
    </row>
    <row r="97" spans="1:23" s="162" customFormat="1" ht="12.75" x14ac:dyDescent="0.2">
      <c r="A97" s="12">
        <v>13</v>
      </c>
      <c r="B97" s="21" t="s">
        <v>116</v>
      </c>
      <c r="C97" s="13"/>
      <c r="D97" s="12"/>
      <c r="E97" s="12"/>
      <c r="F97" s="14"/>
      <c r="G97" s="12"/>
      <c r="H97" s="12"/>
      <c r="I97" s="12"/>
      <c r="J97" s="12"/>
      <c r="K97" s="12"/>
      <c r="L97" s="12"/>
      <c r="M97" s="24">
        <v>45</v>
      </c>
      <c r="N97" s="24">
        <f t="shared" si="80"/>
        <v>4725</v>
      </c>
      <c r="O97" s="24">
        <f t="shared" si="81"/>
        <v>3071.25</v>
      </c>
      <c r="P97" s="23"/>
      <c r="Q97" s="24">
        <f t="shared" si="82"/>
        <v>2764.125</v>
      </c>
      <c r="R97" s="24">
        <f t="shared" si="83"/>
        <v>1658.4749999999999</v>
      </c>
      <c r="S97" s="24">
        <f t="shared" si="84"/>
        <v>1105.6500000000001</v>
      </c>
      <c r="T97" s="24">
        <f t="shared" si="85"/>
        <v>2211.3000000000002</v>
      </c>
      <c r="U97" s="24">
        <f t="shared" si="86"/>
        <v>3869.7750000000001</v>
      </c>
    </row>
    <row r="98" spans="1:23" s="162" customFormat="1" ht="12.75" x14ac:dyDescent="0.2">
      <c r="A98" s="12">
        <v>14</v>
      </c>
      <c r="B98" s="21" t="s">
        <v>178</v>
      </c>
      <c r="C98" s="13"/>
      <c r="D98" s="12"/>
      <c r="E98" s="12"/>
      <c r="F98" s="14"/>
      <c r="G98" s="12"/>
      <c r="H98" s="12"/>
      <c r="I98" s="12"/>
      <c r="J98" s="12"/>
      <c r="K98" s="12"/>
      <c r="L98" s="12"/>
      <c r="M98" s="24">
        <v>40</v>
      </c>
      <c r="N98" s="24">
        <f t="shared" si="80"/>
        <v>4200</v>
      </c>
      <c r="O98" s="24">
        <f t="shared" si="81"/>
        <v>2730</v>
      </c>
      <c r="P98" s="23"/>
      <c r="Q98" s="24">
        <f t="shared" si="82"/>
        <v>2457</v>
      </c>
      <c r="R98" s="24">
        <f t="shared" si="83"/>
        <v>1474.2</v>
      </c>
      <c r="S98" s="24">
        <f t="shared" si="84"/>
        <v>982.80000000000007</v>
      </c>
      <c r="T98" s="24">
        <f t="shared" si="85"/>
        <v>1965.6000000000001</v>
      </c>
      <c r="U98" s="24">
        <f t="shared" si="86"/>
        <v>3439.8</v>
      </c>
    </row>
    <row r="99" spans="1:23" s="162" customFormat="1" ht="12.75" x14ac:dyDescent="0.2">
      <c r="A99" s="12">
        <v>15</v>
      </c>
      <c r="B99" s="21" t="s">
        <v>151</v>
      </c>
      <c r="C99" s="13" t="s">
        <v>84</v>
      </c>
      <c r="D99" s="12"/>
      <c r="E99" s="12"/>
      <c r="F99" s="14"/>
      <c r="G99" s="12"/>
      <c r="H99" s="12"/>
      <c r="I99" s="12"/>
      <c r="J99" s="12"/>
      <c r="K99" s="12"/>
      <c r="L99" s="12"/>
      <c r="M99" s="24">
        <v>25</v>
      </c>
      <c r="N99" s="24">
        <f t="shared" si="80"/>
        <v>2625</v>
      </c>
      <c r="O99" s="24">
        <f t="shared" si="81"/>
        <v>1706.25</v>
      </c>
      <c r="P99" s="23"/>
      <c r="Q99" s="24">
        <f t="shared" si="82"/>
        <v>1535.625</v>
      </c>
      <c r="R99" s="24">
        <f t="shared" si="83"/>
        <v>921.375</v>
      </c>
      <c r="S99" s="24">
        <f t="shared" si="84"/>
        <v>614.25</v>
      </c>
      <c r="T99" s="24">
        <f t="shared" si="85"/>
        <v>1228.5</v>
      </c>
      <c r="U99" s="24">
        <f t="shared" si="86"/>
        <v>2149.875</v>
      </c>
    </row>
    <row r="100" spans="1:23" s="162" customFormat="1" ht="12.75" x14ac:dyDescent="0.2">
      <c r="A100" s="12">
        <v>16</v>
      </c>
      <c r="B100" s="21" t="s">
        <v>82</v>
      </c>
      <c r="C100" s="13"/>
      <c r="D100" s="12"/>
      <c r="E100" s="12"/>
      <c r="F100" s="14"/>
      <c r="G100" s="12"/>
      <c r="H100" s="12"/>
      <c r="I100" s="12"/>
      <c r="J100" s="12"/>
      <c r="K100" s="12"/>
      <c r="L100" s="12"/>
      <c r="M100" s="24">
        <v>20</v>
      </c>
      <c r="N100" s="24">
        <f t="shared" si="80"/>
        <v>2100</v>
      </c>
      <c r="O100" s="24">
        <f t="shared" si="81"/>
        <v>1365</v>
      </c>
      <c r="P100" s="23"/>
      <c r="Q100" s="24">
        <f t="shared" si="82"/>
        <v>1228.5</v>
      </c>
      <c r="R100" s="24">
        <f t="shared" si="83"/>
        <v>737.1</v>
      </c>
      <c r="S100" s="24">
        <f t="shared" si="84"/>
        <v>491.40000000000003</v>
      </c>
      <c r="T100" s="24">
        <f t="shared" si="85"/>
        <v>982.80000000000007</v>
      </c>
      <c r="U100" s="24">
        <f t="shared" si="86"/>
        <v>1719.9</v>
      </c>
    </row>
    <row r="101" spans="1:23" s="162" customFormat="1" ht="24" x14ac:dyDescent="0.2">
      <c r="A101" s="12">
        <v>17</v>
      </c>
      <c r="B101" s="21" t="s">
        <v>92</v>
      </c>
      <c r="C101" s="13" t="s">
        <v>56</v>
      </c>
      <c r="D101" s="12"/>
      <c r="E101" s="12"/>
      <c r="F101" s="14"/>
      <c r="G101" s="12"/>
      <c r="H101" s="12"/>
      <c r="I101" s="12"/>
      <c r="J101" s="12"/>
      <c r="K101" s="12"/>
      <c r="L101" s="12"/>
      <c r="M101" s="24">
        <v>65</v>
      </c>
      <c r="N101" s="24">
        <f t="shared" si="80"/>
        <v>6825</v>
      </c>
      <c r="O101" s="24">
        <f t="shared" si="81"/>
        <v>4436.25</v>
      </c>
      <c r="P101" s="23"/>
      <c r="Q101" s="24">
        <f t="shared" si="82"/>
        <v>3992.625</v>
      </c>
      <c r="R101" s="24">
        <f t="shared" si="83"/>
        <v>2395.5749999999998</v>
      </c>
      <c r="S101" s="24">
        <f t="shared" si="84"/>
        <v>1597.0500000000002</v>
      </c>
      <c r="T101" s="24">
        <f t="shared" si="85"/>
        <v>3194.1000000000004</v>
      </c>
      <c r="U101" s="24">
        <f t="shared" si="86"/>
        <v>5589.6750000000002</v>
      </c>
    </row>
    <row r="102" spans="1:23" s="162" customFormat="1" ht="12.75" x14ac:dyDescent="0.2">
      <c r="A102" s="12">
        <v>18</v>
      </c>
      <c r="B102" s="21" t="s">
        <v>152</v>
      </c>
      <c r="C102" s="13"/>
      <c r="D102" s="12"/>
      <c r="E102" s="12"/>
      <c r="F102" s="14"/>
      <c r="G102" s="12"/>
      <c r="H102" s="12"/>
      <c r="I102" s="12"/>
      <c r="J102" s="12"/>
      <c r="K102" s="12"/>
      <c r="L102" s="12"/>
      <c r="M102" s="24">
        <v>60</v>
      </c>
      <c r="N102" s="24">
        <f t="shared" si="80"/>
        <v>6300</v>
      </c>
      <c r="O102" s="24">
        <f t="shared" si="81"/>
        <v>4095</v>
      </c>
      <c r="P102" s="23"/>
      <c r="Q102" s="24">
        <f t="shared" si="82"/>
        <v>3685.5</v>
      </c>
      <c r="R102" s="24">
        <f t="shared" si="83"/>
        <v>2211.2999999999997</v>
      </c>
      <c r="S102" s="24">
        <f t="shared" si="84"/>
        <v>1474.2</v>
      </c>
      <c r="T102" s="24">
        <f t="shared" si="85"/>
        <v>2948.4</v>
      </c>
      <c r="U102" s="24">
        <f t="shared" si="86"/>
        <v>5159.7</v>
      </c>
    </row>
    <row r="103" spans="1:23" s="162" customFormat="1" ht="12.75" x14ac:dyDescent="0.2">
      <c r="A103" s="12">
        <v>19</v>
      </c>
      <c r="B103" s="21" t="s">
        <v>117</v>
      </c>
      <c r="D103" s="12"/>
      <c r="E103" s="12"/>
      <c r="F103" s="14"/>
      <c r="G103" s="12"/>
      <c r="H103" s="12"/>
      <c r="I103" s="12"/>
      <c r="J103" s="12"/>
      <c r="K103" s="12"/>
      <c r="L103" s="12"/>
      <c r="M103" s="24">
        <v>50</v>
      </c>
      <c r="N103" s="24">
        <f t="shared" si="80"/>
        <v>5250</v>
      </c>
      <c r="O103" s="24">
        <f t="shared" si="81"/>
        <v>3412.5</v>
      </c>
      <c r="P103" s="23"/>
      <c r="Q103" s="24">
        <f t="shared" si="82"/>
        <v>3071.25</v>
      </c>
      <c r="R103" s="24">
        <f t="shared" si="83"/>
        <v>1842.75</v>
      </c>
      <c r="S103" s="24">
        <f t="shared" si="84"/>
        <v>1228.5</v>
      </c>
      <c r="T103" s="24">
        <f t="shared" si="85"/>
        <v>2457</v>
      </c>
      <c r="U103" s="24">
        <f t="shared" si="86"/>
        <v>4299.75</v>
      </c>
    </row>
    <row r="104" spans="1:23" s="162" customFormat="1" ht="24" x14ac:dyDescent="0.2">
      <c r="A104" s="12">
        <v>20</v>
      </c>
      <c r="B104" s="21" t="s">
        <v>118</v>
      </c>
      <c r="D104" s="12"/>
      <c r="E104" s="12"/>
      <c r="F104" s="14"/>
      <c r="G104" s="12"/>
      <c r="H104" s="12"/>
      <c r="I104" s="12"/>
      <c r="J104" s="12"/>
      <c r="K104" s="12"/>
      <c r="L104" s="12"/>
      <c r="M104" s="24">
        <v>60</v>
      </c>
      <c r="N104" s="24">
        <f t="shared" si="80"/>
        <v>6300</v>
      </c>
      <c r="O104" s="24">
        <f t="shared" si="81"/>
        <v>4095</v>
      </c>
      <c r="P104" s="23"/>
      <c r="Q104" s="24">
        <f t="shared" si="82"/>
        <v>3685.5</v>
      </c>
      <c r="R104" s="24">
        <f t="shared" si="83"/>
        <v>2211.2999999999997</v>
      </c>
      <c r="S104" s="24">
        <f t="shared" si="84"/>
        <v>1474.2</v>
      </c>
      <c r="T104" s="24">
        <f t="shared" si="85"/>
        <v>2948.4</v>
      </c>
      <c r="U104" s="24">
        <f t="shared" si="86"/>
        <v>5159.7</v>
      </c>
    </row>
    <row r="105" spans="1:23" s="162" customFormat="1" ht="12.75" x14ac:dyDescent="0.2">
      <c r="A105" s="12">
        <v>21</v>
      </c>
      <c r="B105" s="21" t="s">
        <v>153</v>
      </c>
      <c r="C105" s="13" t="s">
        <v>45</v>
      </c>
      <c r="D105" s="12"/>
      <c r="E105" s="12"/>
      <c r="F105" s="14"/>
      <c r="G105" s="12"/>
      <c r="H105" s="12"/>
      <c r="I105" s="12"/>
      <c r="J105" s="12"/>
      <c r="K105" s="12"/>
      <c r="L105" s="12"/>
      <c r="M105" s="24">
        <v>75</v>
      </c>
      <c r="N105" s="24">
        <f t="shared" si="80"/>
        <v>7875</v>
      </c>
      <c r="O105" s="24">
        <f t="shared" si="81"/>
        <v>5118.75</v>
      </c>
      <c r="P105" s="23"/>
      <c r="Q105" s="24">
        <f t="shared" si="82"/>
        <v>4606.875</v>
      </c>
      <c r="R105" s="24">
        <f t="shared" si="83"/>
        <v>2764.125</v>
      </c>
      <c r="S105" s="24">
        <f t="shared" si="84"/>
        <v>1842.75</v>
      </c>
      <c r="T105" s="24">
        <f t="shared" si="85"/>
        <v>3685.5</v>
      </c>
      <c r="U105" s="24">
        <f t="shared" si="86"/>
        <v>6449.625</v>
      </c>
    </row>
    <row r="106" spans="1:23" s="162" customFormat="1" ht="12.75" x14ac:dyDescent="0.2">
      <c r="A106" s="12">
        <v>22</v>
      </c>
      <c r="B106" s="21" t="s">
        <v>154</v>
      </c>
      <c r="C106" s="13"/>
      <c r="D106" s="12"/>
      <c r="E106" s="12"/>
      <c r="F106" s="14"/>
      <c r="G106" s="12"/>
      <c r="H106" s="12"/>
      <c r="I106" s="12"/>
      <c r="J106" s="12"/>
      <c r="K106" s="12"/>
      <c r="L106" s="12"/>
      <c r="M106" s="24">
        <v>75</v>
      </c>
      <c r="N106" s="24">
        <f t="shared" si="80"/>
        <v>7875</v>
      </c>
      <c r="O106" s="24">
        <f t="shared" si="81"/>
        <v>5118.75</v>
      </c>
      <c r="P106" s="23"/>
      <c r="Q106" s="24">
        <f t="shared" si="82"/>
        <v>4606.875</v>
      </c>
      <c r="R106" s="24">
        <f t="shared" si="83"/>
        <v>2764.125</v>
      </c>
      <c r="S106" s="24">
        <f t="shared" si="84"/>
        <v>1842.75</v>
      </c>
      <c r="T106" s="24">
        <f t="shared" si="85"/>
        <v>3685.5</v>
      </c>
      <c r="U106" s="24">
        <f t="shared" si="86"/>
        <v>6449.625</v>
      </c>
    </row>
    <row r="107" spans="1:23" s="162" customFormat="1" ht="12.75" x14ac:dyDescent="0.2">
      <c r="A107" s="12">
        <v>23</v>
      </c>
      <c r="B107" s="21" t="s">
        <v>114</v>
      </c>
      <c r="C107" s="13"/>
      <c r="D107" s="12"/>
      <c r="E107" s="12"/>
      <c r="F107" s="14"/>
      <c r="G107" s="12"/>
      <c r="H107" s="12"/>
      <c r="I107" s="12"/>
      <c r="J107" s="12"/>
      <c r="K107" s="12"/>
      <c r="L107" s="12"/>
      <c r="M107" s="24">
        <v>20</v>
      </c>
      <c r="N107" s="24">
        <f t="shared" si="80"/>
        <v>2100</v>
      </c>
      <c r="O107" s="24">
        <f t="shared" si="81"/>
        <v>1365</v>
      </c>
      <c r="P107" s="23"/>
      <c r="Q107" s="24">
        <f t="shared" si="82"/>
        <v>1228.5</v>
      </c>
      <c r="R107" s="24">
        <f t="shared" si="83"/>
        <v>737.1</v>
      </c>
      <c r="S107" s="24">
        <f t="shared" si="84"/>
        <v>491.40000000000003</v>
      </c>
      <c r="T107" s="24">
        <f t="shared" si="85"/>
        <v>982.80000000000007</v>
      </c>
      <c r="U107" s="24">
        <f t="shared" si="86"/>
        <v>1719.9</v>
      </c>
    </row>
    <row r="108" spans="1:23" s="162" customFormat="1" ht="12.75" x14ac:dyDescent="0.2">
      <c r="A108" s="12">
        <v>24</v>
      </c>
      <c r="B108" s="21" t="s">
        <v>155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4">
        <v>75</v>
      </c>
      <c r="N108" s="24">
        <f t="shared" si="80"/>
        <v>7875</v>
      </c>
      <c r="O108" s="24">
        <f t="shared" si="81"/>
        <v>5118.75</v>
      </c>
      <c r="P108" s="23"/>
      <c r="Q108" s="24">
        <f t="shared" si="82"/>
        <v>4606.875</v>
      </c>
      <c r="R108" s="24">
        <f t="shared" si="83"/>
        <v>2764.125</v>
      </c>
      <c r="S108" s="24">
        <f t="shared" si="84"/>
        <v>1842.75</v>
      </c>
      <c r="T108" s="24">
        <f t="shared" si="85"/>
        <v>3685.5</v>
      </c>
      <c r="U108" s="24">
        <f t="shared" si="86"/>
        <v>6449.625</v>
      </c>
    </row>
    <row r="109" spans="1:23" s="162" customFormat="1" ht="12.75" x14ac:dyDescent="0.2">
      <c r="A109" s="12">
        <v>25</v>
      </c>
      <c r="B109" s="21" t="s">
        <v>102</v>
      </c>
      <c r="C109" s="13" t="s">
        <v>104</v>
      </c>
      <c r="D109" s="12"/>
      <c r="E109" s="12"/>
      <c r="F109" s="14"/>
      <c r="G109" s="12"/>
      <c r="H109" s="12"/>
      <c r="I109" s="12"/>
      <c r="J109" s="12"/>
      <c r="K109" s="12"/>
      <c r="L109" s="12"/>
      <c r="M109" s="28">
        <v>65</v>
      </c>
      <c r="N109" s="24">
        <f t="shared" si="80"/>
        <v>6825</v>
      </c>
      <c r="O109" s="24">
        <f t="shared" si="81"/>
        <v>4436.25</v>
      </c>
      <c r="P109" s="23"/>
      <c r="Q109" s="24">
        <f t="shared" si="82"/>
        <v>3992.625</v>
      </c>
      <c r="R109" s="24">
        <f t="shared" si="83"/>
        <v>2395.5749999999998</v>
      </c>
      <c r="S109" s="24">
        <f t="shared" si="84"/>
        <v>1597.0500000000002</v>
      </c>
      <c r="T109" s="24">
        <f t="shared" si="85"/>
        <v>3194.1000000000004</v>
      </c>
      <c r="U109" s="24">
        <f t="shared" si="86"/>
        <v>5589.6750000000002</v>
      </c>
    </row>
    <row r="110" spans="1:23" s="162" customFormat="1" ht="12.75" x14ac:dyDescent="0.2">
      <c r="A110" s="12">
        <v>26</v>
      </c>
      <c r="B110" s="21" t="s">
        <v>179</v>
      </c>
      <c r="C110" s="13" t="s">
        <v>37</v>
      </c>
      <c r="D110" s="12"/>
      <c r="E110" s="12"/>
      <c r="F110" s="14"/>
      <c r="G110" s="12"/>
      <c r="H110" s="12"/>
      <c r="I110" s="12"/>
      <c r="J110" s="12"/>
      <c r="K110" s="12"/>
      <c r="L110" s="12"/>
      <c r="M110" s="24">
        <v>20</v>
      </c>
      <c r="N110" s="24">
        <f>M110*105</f>
        <v>2100</v>
      </c>
      <c r="O110" s="24">
        <f t="shared" si="81"/>
        <v>1365</v>
      </c>
      <c r="P110" s="23"/>
      <c r="Q110" s="24">
        <f>O110*0.9</f>
        <v>1228.5</v>
      </c>
      <c r="R110" s="24">
        <f>Q110*0.6</f>
        <v>737.1</v>
      </c>
      <c r="S110" s="24">
        <f>Q110*0.4</f>
        <v>491.40000000000003</v>
      </c>
      <c r="T110" s="24">
        <f>S110*2</f>
        <v>982.80000000000007</v>
      </c>
      <c r="U110" s="24">
        <f>R110+T110</f>
        <v>1719.9</v>
      </c>
    </row>
    <row r="111" spans="1:23" s="162" customFormat="1" ht="12.75" x14ac:dyDescent="0.2">
      <c r="A111" s="12"/>
      <c r="B111" s="21"/>
      <c r="C111" s="13"/>
      <c r="D111" s="12"/>
      <c r="E111" s="12"/>
      <c r="F111" s="14"/>
      <c r="G111" s="12"/>
      <c r="H111" s="12"/>
      <c r="I111" s="12"/>
      <c r="J111" s="12"/>
      <c r="K111" s="12"/>
      <c r="L111" s="12"/>
      <c r="M111" s="24"/>
      <c r="N111" s="24"/>
      <c r="O111" s="24"/>
      <c r="P111" s="23"/>
      <c r="Q111" s="24"/>
      <c r="R111" s="24"/>
      <c r="S111" s="24"/>
      <c r="T111" s="24"/>
      <c r="U111" s="24"/>
    </row>
    <row r="112" spans="1:23" s="162" customFormat="1" x14ac:dyDescent="0.25">
      <c r="A112" s="15"/>
      <c r="B112" s="22"/>
      <c r="C112" s="16"/>
      <c r="D112" s="15"/>
      <c r="E112" s="15"/>
      <c r="F112" s="17"/>
      <c r="G112" s="15"/>
      <c r="H112" s="15"/>
      <c r="I112" s="15"/>
      <c r="J112" s="15"/>
      <c r="K112" s="15"/>
      <c r="L112" s="15"/>
      <c r="M112" s="26"/>
      <c r="N112" s="26"/>
      <c r="O112" s="26"/>
      <c r="P112" s="25"/>
      <c r="Q112" s="26"/>
      <c r="R112" s="26"/>
      <c r="S112" s="26"/>
      <c r="T112" s="26"/>
      <c r="U112" s="26"/>
      <c r="V112" s="137"/>
      <c r="W112" s="137"/>
    </row>
    <row r="113" spans="1:23" s="162" customFormat="1" x14ac:dyDescent="0.25">
      <c r="A113" s="137"/>
      <c r="B113" s="184" t="s">
        <v>18</v>
      </c>
      <c r="C113" s="185"/>
      <c r="D113" s="185"/>
      <c r="E113" s="185"/>
      <c r="F113" s="185"/>
      <c r="G113" s="185"/>
      <c r="H113" s="185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86"/>
      <c r="V113" s="137"/>
      <c r="W113" s="137"/>
    </row>
    <row r="114" spans="1:23" s="162" customFormat="1" x14ac:dyDescent="0.25">
      <c r="A114" s="187"/>
      <c r="B114" s="188" t="s">
        <v>260</v>
      </c>
      <c r="C114" s="185"/>
      <c r="D114" s="185"/>
      <c r="E114" s="185"/>
      <c r="F114" s="185"/>
      <c r="G114" s="185"/>
      <c r="H114" s="185"/>
      <c r="I114" s="137"/>
      <c r="J114" s="137"/>
      <c r="K114" s="137"/>
      <c r="L114" s="137"/>
      <c r="M114" s="137"/>
      <c r="N114" s="187"/>
      <c r="O114" s="187"/>
      <c r="P114" s="187"/>
      <c r="Q114" s="187"/>
      <c r="R114" s="187"/>
      <c r="S114" s="187"/>
      <c r="T114" s="189"/>
      <c r="U114" s="190"/>
      <c r="V114" s="137"/>
      <c r="W114" s="137"/>
    </row>
    <row r="115" spans="1:23" s="162" customFormat="1" x14ac:dyDescent="0.25">
      <c r="A115" s="187"/>
      <c r="B115" s="188" t="s">
        <v>204</v>
      </c>
      <c r="C115" s="185"/>
      <c r="D115" s="185"/>
      <c r="E115" s="185"/>
      <c r="F115" s="185"/>
      <c r="G115" s="185"/>
      <c r="H115" s="185"/>
      <c r="I115" s="137"/>
      <c r="J115" s="137"/>
      <c r="K115" s="137"/>
      <c r="L115" s="137"/>
      <c r="M115" s="137"/>
      <c r="N115" s="187"/>
      <c r="O115" s="187"/>
      <c r="P115" s="187"/>
      <c r="Q115" s="187"/>
      <c r="R115" s="187"/>
      <c r="S115" s="187"/>
      <c r="T115" s="189"/>
      <c r="U115" s="190"/>
      <c r="V115" s="137"/>
      <c r="W115" s="137"/>
    </row>
    <row r="116" spans="1:23" x14ac:dyDescent="0.25">
      <c r="A116" s="187"/>
      <c r="B116" s="188" t="s">
        <v>205</v>
      </c>
      <c r="C116" s="185"/>
      <c r="D116" s="185"/>
      <c r="E116" s="185"/>
      <c r="F116" s="185"/>
      <c r="G116" s="185"/>
      <c r="H116" s="185"/>
      <c r="N116" s="187"/>
      <c r="O116" s="187"/>
      <c r="P116" s="187"/>
      <c r="Q116" s="187"/>
      <c r="R116" s="187"/>
      <c r="S116" s="187"/>
      <c r="T116" s="189"/>
      <c r="U116" s="190"/>
    </row>
    <row r="117" spans="1:23" x14ac:dyDescent="0.25">
      <c r="B117" s="184"/>
      <c r="C117" s="185"/>
      <c r="D117" s="185"/>
      <c r="E117" s="185"/>
      <c r="F117" s="185"/>
      <c r="G117" s="185"/>
      <c r="H117" s="185"/>
      <c r="U117" s="186"/>
    </row>
    <row r="118" spans="1:23" x14ac:dyDescent="0.25">
      <c r="A118" s="187"/>
      <c r="B118" s="188"/>
      <c r="C118" s="185"/>
      <c r="D118" s="185"/>
      <c r="E118" s="185"/>
      <c r="F118" s="185"/>
      <c r="G118" s="185"/>
      <c r="H118" s="185"/>
      <c r="N118" s="187"/>
      <c r="O118" s="187"/>
      <c r="P118" s="187"/>
      <c r="Q118" s="187"/>
      <c r="R118" s="187"/>
      <c r="S118" s="187"/>
      <c r="T118" s="189"/>
      <c r="U118" s="190"/>
    </row>
    <row r="119" spans="1:23" x14ac:dyDescent="0.25">
      <c r="A119" s="187"/>
      <c r="B119" s="188"/>
      <c r="C119" s="185"/>
      <c r="D119" s="185"/>
      <c r="E119" s="185"/>
      <c r="F119" s="185"/>
      <c r="G119" s="185"/>
      <c r="H119" s="185"/>
      <c r="M119" s="191"/>
      <c r="N119" s="187"/>
      <c r="O119" s="187"/>
      <c r="P119" s="187"/>
      <c r="Q119" s="187"/>
      <c r="R119" s="187"/>
      <c r="S119" s="187"/>
      <c r="T119" s="189"/>
      <c r="U119" s="190"/>
    </row>
    <row r="120" spans="1:23" x14ac:dyDescent="0.25">
      <c r="A120" s="187"/>
      <c r="B120" s="188"/>
      <c r="C120" s="185"/>
      <c r="D120" s="185"/>
      <c r="E120" s="185"/>
      <c r="F120" s="185"/>
      <c r="G120" s="185"/>
      <c r="H120" s="185"/>
      <c r="M120" s="191"/>
      <c r="N120" s="187"/>
      <c r="O120" s="187"/>
      <c r="P120" s="187"/>
      <c r="Q120" s="187"/>
      <c r="R120" s="187"/>
      <c r="S120" s="187"/>
      <c r="T120" s="189"/>
      <c r="U120" s="190"/>
    </row>
    <row r="121" spans="1:23" ht="16.5" x14ac:dyDescent="0.25">
      <c r="A121" s="187"/>
      <c r="B121" s="192"/>
      <c r="C121" s="193"/>
      <c r="D121" s="6"/>
      <c r="E121" s="6"/>
      <c r="F121" s="187"/>
      <c r="G121" s="187"/>
      <c r="H121" s="187"/>
      <c r="I121" s="187"/>
      <c r="J121" s="187"/>
      <c r="K121" s="187"/>
      <c r="L121" s="187"/>
      <c r="M121" s="194"/>
      <c r="N121" s="187"/>
      <c r="O121" s="187"/>
      <c r="P121" s="187"/>
      <c r="Q121" s="187"/>
      <c r="R121" s="187"/>
      <c r="S121" s="187"/>
      <c r="T121" s="189"/>
      <c r="U121" s="190"/>
    </row>
    <row r="122" spans="1:23" ht="16.5" x14ac:dyDescent="0.25">
      <c r="A122" s="187"/>
      <c r="B122" s="192"/>
      <c r="C122" s="193"/>
      <c r="D122" s="6"/>
      <c r="E122" s="6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9"/>
      <c r="U122" s="190"/>
    </row>
    <row r="123" spans="1:23" ht="16.5" x14ac:dyDescent="0.25">
      <c r="A123" s="187"/>
      <c r="B123" s="192"/>
      <c r="C123" s="193"/>
      <c r="D123" s="6"/>
      <c r="E123" s="6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9"/>
      <c r="U123" s="190"/>
    </row>
    <row r="124" spans="1:23" ht="16.5" x14ac:dyDescent="0.25">
      <c r="A124" s="187"/>
      <c r="B124" s="192"/>
      <c r="C124" s="193"/>
      <c r="D124" s="6"/>
      <c r="E124" s="6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9"/>
      <c r="U124" s="190"/>
    </row>
    <row r="125" spans="1:23" x14ac:dyDescent="0.25">
      <c r="A125" s="187"/>
      <c r="B125" s="192"/>
      <c r="C125" s="193"/>
      <c r="D125" s="193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9"/>
      <c r="U125" s="190"/>
    </row>
    <row r="126" spans="1:23" x14ac:dyDescent="0.25">
      <c r="A126" s="187"/>
      <c r="B126" s="192"/>
      <c r="C126" s="193"/>
      <c r="D126" s="193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9"/>
      <c r="U126" s="190"/>
    </row>
    <row r="127" spans="1:23" x14ac:dyDescent="0.25">
      <c r="A127" s="187"/>
      <c r="B127" s="195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7"/>
      <c r="U127" s="198"/>
    </row>
    <row r="133" spans="1:19" ht="18.75" x14ac:dyDescent="0.25"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</row>
    <row r="135" spans="1:19" x14ac:dyDescent="0.25">
      <c r="A135" s="201"/>
      <c r="B135" s="202"/>
    </row>
  </sheetData>
  <mergeCells count="9">
    <mergeCell ref="A1:U1"/>
    <mergeCell ref="B133:S133"/>
    <mergeCell ref="C2:C3"/>
    <mergeCell ref="B2:B3"/>
    <mergeCell ref="A2:A3"/>
    <mergeCell ref="D2:L2"/>
    <mergeCell ref="M2:U2"/>
    <mergeCell ref="M5:U5"/>
    <mergeCell ref="D5:J5"/>
  </mergeCells>
  <pageMargins left="0.59055118110236204" right="0.196850393700787" top="0.71" bottom="0.23" header="0.25" footer="0.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66"/>
  <sheetViews>
    <sheetView zoomScale="110" zoomScaleNormal="110" workbookViewId="0">
      <selection sqref="A1:P1"/>
    </sheetView>
  </sheetViews>
  <sheetFormatPr defaultColWidth="9.140625" defaultRowHeight="15" x14ac:dyDescent="0.25"/>
  <cols>
    <col min="1" max="1" width="5.42578125" style="7" customWidth="1"/>
    <col min="2" max="2" width="24.85546875" style="137" customWidth="1"/>
    <col min="3" max="4" width="8.42578125" style="165" customWidth="1"/>
    <col min="5" max="5" width="10.28515625" style="165" customWidth="1"/>
    <col min="6" max="6" width="11" style="165" customWidth="1"/>
    <col min="7" max="7" width="11.5703125" style="137" customWidth="1"/>
    <col min="8" max="8" width="10.7109375" style="137" customWidth="1"/>
    <col min="9" max="9" width="10.85546875" style="137" customWidth="1"/>
    <col min="10" max="10" width="12.7109375" style="137" customWidth="1"/>
    <col min="11" max="11" width="12.85546875" style="137" customWidth="1"/>
    <col min="12" max="12" width="8.5703125" style="137" customWidth="1"/>
    <col min="13" max="13" width="9.140625" style="137" customWidth="1"/>
    <col min="14" max="14" width="11.28515625" style="137" customWidth="1"/>
    <col min="15" max="15" width="10.42578125" style="137" customWidth="1"/>
    <col min="16" max="16" width="10.28515625" style="137" hidden="1" customWidth="1"/>
    <col min="17" max="17" width="9" style="137" customWidth="1"/>
    <col min="18" max="18" width="9.140625" style="137"/>
    <col min="19" max="19" width="17.42578125" style="137" bestFit="1" customWidth="1"/>
    <col min="20" max="21" width="19.140625" style="137" bestFit="1" customWidth="1"/>
    <col min="22" max="16384" width="9.140625" style="137"/>
  </cols>
  <sheetData>
    <row r="1" spans="1:20" ht="18.75" customHeight="1" x14ac:dyDescent="0.25">
      <c r="A1" s="136" t="s">
        <v>263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20" s="7" customFormat="1" ht="51" x14ac:dyDescent="0.25">
      <c r="A2" s="138" t="s">
        <v>12</v>
      </c>
      <c r="B2" s="138" t="s">
        <v>13</v>
      </c>
      <c r="C2" s="139" t="s">
        <v>17</v>
      </c>
      <c r="D2" s="139" t="s">
        <v>206</v>
      </c>
      <c r="E2" s="138" t="s">
        <v>207</v>
      </c>
      <c r="F2" s="138" t="s">
        <v>209</v>
      </c>
      <c r="G2" s="138" t="s">
        <v>208</v>
      </c>
      <c r="H2" s="138" t="s">
        <v>124</v>
      </c>
      <c r="I2" s="138" t="s">
        <v>18</v>
      </c>
      <c r="J2" s="138" t="s">
        <v>28</v>
      </c>
      <c r="K2" s="138" t="s">
        <v>29</v>
      </c>
      <c r="L2" s="138" t="s">
        <v>27</v>
      </c>
      <c r="M2" s="138" t="s">
        <v>26</v>
      </c>
      <c r="N2" s="138" t="s">
        <v>25</v>
      </c>
      <c r="O2" s="138" t="s">
        <v>24</v>
      </c>
      <c r="P2" s="138" t="s">
        <v>160</v>
      </c>
    </row>
    <row r="3" spans="1:20" s="7" customFormat="1" x14ac:dyDescent="0.25">
      <c r="A3" s="140"/>
      <c r="B3" s="140" t="s">
        <v>139</v>
      </c>
      <c r="C3" s="141">
        <f>C4+C25</f>
        <v>219.66301587301587</v>
      </c>
      <c r="D3" s="141">
        <f>D4+D25</f>
        <v>100.56190476190477</v>
      </c>
      <c r="E3" s="142">
        <f>ROUND((E4+E25),-3)</f>
        <v>300000</v>
      </c>
      <c r="F3" s="142">
        <f>ROUND((F4+F25),-3)</f>
        <v>118000</v>
      </c>
      <c r="G3" s="143">
        <f>ROUND((G4+G25),-3)</f>
        <v>418000</v>
      </c>
      <c r="H3" s="141">
        <f>H4+H25</f>
        <v>0</v>
      </c>
      <c r="I3" s="141"/>
      <c r="J3" s="143">
        <f t="shared" ref="J3:N3" si="0">J4+J25</f>
        <v>4903000</v>
      </c>
      <c r="K3" s="143">
        <f t="shared" si="0"/>
        <v>7575769.230769231</v>
      </c>
      <c r="L3" s="144">
        <f t="shared" si="0"/>
        <v>658.9890476190476</v>
      </c>
      <c r="M3" s="143">
        <f t="shared" si="0"/>
        <v>1856.1524841269843</v>
      </c>
      <c r="N3" s="143">
        <f t="shared" si="0"/>
        <v>75265.267307692309</v>
      </c>
      <c r="O3" s="143">
        <f>O4+O25</f>
        <v>77780.408839438329</v>
      </c>
      <c r="P3" s="143">
        <f>ROUND((P4+P25),-3)</f>
        <v>366000</v>
      </c>
    </row>
    <row r="4" spans="1:20" s="7" customFormat="1" ht="25.5" x14ac:dyDescent="0.25">
      <c r="A4" s="145" t="s">
        <v>122</v>
      </c>
      <c r="B4" s="145" t="s">
        <v>211</v>
      </c>
      <c r="C4" s="146">
        <f>SUM(C5:C24)</f>
        <v>219.66301587301587</v>
      </c>
      <c r="D4" s="146">
        <f>SUM(D5:D24)</f>
        <v>100.56190476190477</v>
      </c>
      <c r="E4" s="147">
        <f t="shared" ref="E4:F4" si="1">SUM(E5:E24)</f>
        <v>300000</v>
      </c>
      <c r="F4" s="147">
        <f t="shared" si="1"/>
        <v>117800</v>
      </c>
      <c r="G4" s="147">
        <f>ROUND((SUM(G5:G24)),-3)</f>
        <v>418000</v>
      </c>
      <c r="H4" s="146">
        <f t="shared" ref="H4:O4" si="2">SUM(H5:H24)</f>
        <v>0</v>
      </c>
      <c r="I4" s="146">
        <f t="shared" si="2"/>
        <v>0</v>
      </c>
      <c r="J4" s="148">
        <f t="shared" si="2"/>
        <v>4903000</v>
      </c>
      <c r="K4" s="148">
        <f t="shared" si="2"/>
        <v>7575769.230769231</v>
      </c>
      <c r="L4" s="148">
        <f t="shared" si="2"/>
        <v>658.9890476190476</v>
      </c>
      <c r="M4" s="148">
        <f t="shared" si="2"/>
        <v>1856.1524841269843</v>
      </c>
      <c r="N4" s="148">
        <f t="shared" si="2"/>
        <v>75265.267307692309</v>
      </c>
      <c r="O4" s="148">
        <f t="shared" si="2"/>
        <v>77780.408839438329</v>
      </c>
      <c r="P4" s="148">
        <f>ROUND((SUM(P5:P24)),-3)</f>
        <v>366000</v>
      </c>
      <c r="R4" s="149"/>
    </row>
    <row r="5" spans="1:20" s="7" customFormat="1" ht="25.5" x14ac:dyDescent="0.25">
      <c r="A5" s="87">
        <v>1</v>
      </c>
      <c r="B5" s="87" t="s">
        <v>235</v>
      </c>
      <c r="C5" s="150">
        <v>16.7</v>
      </c>
      <c r="D5" s="150">
        <v>7.8</v>
      </c>
      <c r="E5" s="89">
        <f>ROUND((G5/1.4),-3)</f>
        <v>11000</v>
      </c>
      <c r="F5" s="89">
        <f>G5-E5</f>
        <v>4000</v>
      </c>
      <c r="G5" s="91">
        <v>15000</v>
      </c>
      <c r="H5" s="87" t="s">
        <v>125</v>
      </c>
      <c r="I5" s="87" t="s">
        <v>19</v>
      </c>
      <c r="J5" s="91">
        <v>155000</v>
      </c>
      <c r="K5" s="91">
        <v>270000</v>
      </c>
      <c r="L5" s="91">
        <f t="shared" ref="L5:L24" si="3">C5*3</f>
        <v>50.099999999999994</v>
      </c>
      <c r="M5" s="91">
        <f t="shared" ref="M5:M24" si="4">C5*8.45</f>
        <v>141.11499999999998</v>
      </c>
      <c r="N5" s="91">
        <f>K5*0.009935</f>
        <v>2682.45</v>
      </c>
      <c r="O5" s="91">
        <f>L5+M5+N5</f>
        <v>2873.665</v>
      </c>
      <c r="P5" s="89">
        <v>15000</v>
      </c>
      <c r="R5" s="151"/>
      <c r="S5" s="151"/>
      <c r="T5" s="152"/>
    </row>
    <row r="6" spans="1:20" s="7" customFormat="1" ht="38.25" x14ac:dyDescent="0.25">
      <c r="A6" s="87">
        <v>2</v>
      </c>
      <c r="B6" s="87" t="s">
        <v>20</v>
      </c>
      <c r="C6" s="150">
        <v>3</v>
      </c>
      <c r="D6" s="150">
        <v>2</v>
      </c>
      <c r="E6" s="89">
        <f t="shared" ref="E6:E22" si="5">ROUND((G6/1.4),-3)</f>
        <v>4000</v>
      </c>
      <c r="F6" s="89">
        <f t="shared" ref="F6:F24" si="6">G6-E6</f>
        <v>1000</v>
      </c>
      <c r="G6" s="91">
        <v>5000</v>
      </c>
      <c r="H6" s="87" t="s">
        <v>126</v>
      </c>
      <c r="I6" s="87" t="s">
        <v>21</v>
      </c>
      <c r="J6" s="91">
        <v>23000</v>
      </c>
      <c r="K6" s="91">
        <v>37000</v>
      </c>
      <c r="L6" s="91">
        <f t="shared" si="3"/>
        <v>9</v>
      </c>
      <c r="M6" s="91">
        <f t="shared" si="4"/>
        <v>25.349999999999998</v>
      </c>
      <c r="N6" s="91">
        <f>K6*0.009935</f>
        <v>367.59499999999997</v>
      </c>
      <c r="O6" s="91">
        <f>L6+M6+N6</f>
        <v>401.94499999999994</v>
      </c>
      <c r="P6" s="89">
        <v>5000</v>
      </c>
      <c r="R6" s="151"/>
      <c r="S6" s="151"/>
    </row>
    <row r="7" spans="1:20" s="7" customFormat="1" ht="43.5" customHeight="1" x14ac:dyDescent="0.25">
      <c r="A7" s="87">
        <v>3</v>
      </c>
      <c r="B7" s="87" t="s">
        <v>236</v>
      </c>
      <c r="C7" s="150">
        <v>5.7</v>
      </c>
      <c r="D7" s="150">
        <v>3.2</v>
      </c>
      <c r="E7" s="89">
        <f t="shared" si="5"/>
        <v>7000</v>
      </c>
      <c r="F7" s="89">
        <f t="shared" si="6"/>
        <v>3000</v>
      </c>
      <c r="G7" s="91">
        <v>10000</v>
      </c>
      <c r="H7" s="87" t="s">
        <v>125</v>
      </c>
      <c r="I7" s="87" t="s">
        <v>210</v>
      </c>
      <c r="J7" s="91">
        <v>72000</v>
      </c>
      <c r="K7" s="91">
        <f>J7/0.65</f>
        <v>110769.23076923077</v>
      </c>
      <c r="L7" s="91">
        <f t="shared" si="3"/>
        <v>17.100000000000001</v>
      </c>
      <c r="M7" s="91">
        <f t="shared" si="4"/>
        <v>48.164999999999999</v>
      </c>
      <c r="N7" s="91">
        <f>K7*0.009935</f>
        <v>1100.4923076923076</v>
      </c>
      <c r="O7" s="91">
        <f>L7+M7+N7</f>
        <v>1165.7573076923077</v>
      </c>
      <c r="P7" s="89">
        <v>6000</v>
      </c>
      <c r="R7" s="151"/>
      <c r="S7" s="151"/>
    </row>
    <row r="8" spans="1:20" s="7" customFormat="1" ht="51" x14ac:dyDescent="0.25">
      <c r="A8" s="87">
        <v>4</v>
      </c>
      <c r="B8" s="87" t="s">
        <v>237</v>
      </c>
      <c r="C8" s="150">
        <v>10</v>
      </c>
      <c r="D8" s="150">
        <v>5.3</v>
      </c>
      <c r="E8" s="89">
        <f t="shared" si="5"/>
        <v>16000</v>
      </c>
      <c r="F8" s="89">
        <f t="shared" si="6"/>
        <v>6000</v>
      </c>
      <c r="G8" s="91">
        <f>ROUND((C8*10000*0.4*0.5*20*0.65/12),-3)</f>
        <v>22000</v>
      </c>
      <c r="H8" s="87" t="s">
        <v>127</v>
      </c>
      <c r="I8" s="87" t="s">
        <v>164</v>
      </c>
      <c r="J8" s="91">
        <f>G8*12</f>
        <v>264000</v>
      </c>
      <c r="K8" s="91">
        <f>ROUND((J8/0.65),-3)</f>
        <v>406000</v>
      </c>
      <c r="L8" s="91">
        <f t="shared" si="3"/>
        <v>30</v>
      </c>
      <c r="M8" s="91">
        <f t="shared" si="4"/>
        <v>84.5</v>
      </c>
      <c r="N8" s="91">
        <f>K8*0.009935</f>
        <v>4033.6099999999997</v>
      </c>
      <c r="O8" s="91">
        <f t="shared" ref="O8:O19" si="7">L8+M8+N8</f>
        <v>4148.1099999999997</v>
      </c>
      <c r="P8" s="89">
        <v>22000</v>
      </c>
      <c r="Q8" s="149"/>
      <c r="R8" s="151"/>
      <c r="S8" s="151"/>
    </row>
    <row r="9" spans="1:20" s="154" customFormat="1" ht="51" x14ac:dyDescent="0.25">
      <c r="A9" s="87">
        <v>5</v>
      </c>
      <c r="B9" s="87" t="s">
        <v>189</v>
      </c>
      <c r="C9" s="150">
        <v>6.09</v>
      </c>
      <c r="D9" s="150">
        <v>1.6</v>
      </c>
      <c r="E9" s="89">
        <f t="shared" si="5"/>
        <v>7000</v>
      </c>
      <c r="F9" s="89">
        <f t="shared" si="6"/>
        <v>3000</v>
      </c>
      <c r="G9" s="91">
        <f>ROUND((C9*10000*0.27*0.5*18*0.65/10),-3)</f>
        <v>10000</v>
      </c>
      <c r="H9" s="87" t="s">
        <v>128</v>
      </c>
      <c r="I9" s="87" t="s">
        <v>23</v>
      </c>
      <c r="J9" s="91">
        <f>G9*12</f>
        <v>120000</v>
      </c>
      <c r="K9" s="91">
        <f>ROUND((J9/0.65),-3)</f>
        <v>185000</v>
      </c>
      <c r="L9" s="91">
        <f t="shared" si="3"/>
        <v>18.27</v>
      </c>
      <c r="M9" s="91">
        <f t="shared" si="4"/>
        <v>51.460499999999996</v>
      </c>
      <c r="N9" s="91">
        <f t="shared" ref="N9:N14" si="8">K9*0.009935</f>
        <v>1837.9749999999999</v>
      </c>
      <c r="O9" s="91">
        <f>L9+M9+N9</f>
        <v>1907.7054999999998</v>
      </c>
      <c r="P9" s="89">
        <v>10000</v>
      </c>
      <c r="Q9" s="151"/>
      <c r="R9" s="151"/>
      <c r="S9" s="151"/>
      <c r="T9" s="153"/>
    </row>
    <row r="10" spans="1:20" s="7" customFormat="1" ht="51" x14ac:dyDescent="0.25">
      <c r="A10" s="87">
        <v>6</v>
      </c>
      <c r="B10" s="87" t="s">
        <v>238</v>
      </c>
      <c r="C10" s="150">
        <v>3.2</v>
      </c>
      <c r="D10" s="150">
        <v>3.2</v>
      </c>
      <c r="E10" s="89">
        <f t="shared" si="5"/>
        <v>8000</v>
      </c>
      <c r="F10" s="89">
        <f t="shared" si="6"/>
        <v>3000</v>
      </c>
      <c r="G10" s="91">
        <f>ROUND((C10*10000*0.35*18*0.65/12),-3)</f>
        <v>11000</v>
      </c>
      <c r="H10" s="87" t="s">
        <v>128</v>
      </c>
      <c r="I10" s="87" t="s">
        <v>23</v>
      </c>
      <c r="J10" s="91">
        <f>ROUND((G10*12),-3)</f>
        <v>132000</v>
      </c>
      <c r="K10" s="91">
        <f t="shared" ref="K10" si="9">ROUND((J10/0.65),-3)</f>
        <v>203000</v>
      </c>
      <c r="L10" s="91">
        <f t="shared" si="3"/>
        <v>9.6000000000000014</v>
      </c>
      <c r="M10" s="91">
        <f t="shared" si="4"/>
        <v>27.04</v>
      </c>
      <c r="N10" s="91">
        <f t="shared" si="8"/>
        <v>2016.8049999999998</v>
      </c>
      <c r="O10" s="91">
        <f t="shared" ref="O10" si="10">L10+M10+N10</f>
        <v>2053.4449999999997</v>
      </c>
      <c r="P10" s="89">
        <f>G10</f>
        <v>11000</v>
      </c>
      <c r="R10" s="151"/>
      <c r="S10" s="151"/>
    </row>
    <row r="11" spans="1:20" s="7" customFormat="1" ht="38.25" x14ac:dyDescent="0.25">
      <c r="A11" s="87">
        <v>7</v>
      </c>
      <c r="B11" s="87" t="s">
        <v>239</v>
      </c>
      <c r="C11" s="150">
        <v>3.3</v>
      </c>
      <c r="D11" s="150">
        <v>0.9</v>
      </c>
      <c r="E11" s="89">
        <f t="shared" si="5"/>
        <v>1000</v>
      </c>
      <c r="F11" s="89">
        <f t="shared" si="6"/>
        <v>600</v>
      </c>
      <c r="G11" s="91">
        <v>1600</v>
      </c>
      <c r="H11" s="87" t="s">
        <v>128</v>
      </c>
      <c r="I11" s="87" t="s">
        <v>23</v>
      </c>
      <c r="J11" s="91">
        <f>ROUND((G11*12),-3)</f>
        <v>19000</v>
      </c>
      <c r="K11" s="91">
        <f t="shared" ref="K11:K13" si="11">ROUND((J11/0.65),-3)</f>
        <v>29000</v>
      </c>
      <c r="L11" s="91">
        <f t="shared" si="3"/>
        <v>9.8999999999999986</v>
      </c>
      <c r="M11" s="91">
        <f t="shared" si="4"/>
        <v>27.884999999999994</v>
      </c>
      <c r="N11" s="91">
        <f t="shared" si="8"/>
        <v>288.11500000000001</v>
      </c>
      <c r="O11" s="91">
        <f t="shared" ref="O11:O13" si="12">L11+M11+N11</f>
        <v>325.89999999999998</v>
      </c>
      <c r="P11" s="89">
        <v>1600</v>
      </c>
      <c r="R11" s="151"/>
      <c r="S11" s="151"/>
    </row>
    <row r="12" spans="1:20" s="7" customFormat="1" ht="38.25" x14ac:dyDescent="0.25">
      <c r="A12" s="87">
        <v>8</v>
      </c>
      <c r="B12" s="87" t="s">
        <v>223</v>
      </c>
      <c r="C12" s="150">
        <v>3.4</v>
      </c>
      <c r="D12" s="150">
        <v>0.9</v>
      </c>
      <c r="E12" s="89">
        <f t="shared" si="5"/>
        <v>1000</v>
      </c>
      <c r="F12" s="89">
        <f t="shared" si="6"/>
        <v>600</v>
      </c>
      <c r="G12" s="91">
        <v>1600</v>
      </c>
      <c r="H12" s="87" t="s">
        <v>128</v>
      </c>
      <c r="I12" s="87" t="s">
        <v>23</v>
      </c>
      <c r="J12" s="91">
        <f>ROUND((G12*12),-3)</f>
        <v>19000</v>
      </c>
      <c r="K12" s="91">
        <f t="shared" si="11"/>
        <v>29000</v>
      </c>
      <c r="L12" s="91">
        <f t="shared" si="3"/>
        <v>10.199999999999999</v>
      </c>
      <c r="M12" s="91">
        <f t="shared" si="4"/>
        <v>28.729999999999997</v>
      </c>
      <c r="N12" s="91">
        <f t="shared" si="8"/>
        <v>288.11500000000001</v>
      </c>
      <c r="O12" s="91">
        <f t="shared" si="12"/>
        <v>327.04500000000002</v>
      </c>
      <c r="P12" s="89">
        <v>1600</v>
      </c>
      <c r="R12" s="151"/>
      <c r="S12" s="151"/>
    </row>
    <row r="13" spans="1:20" s="7" customFormat="1" ht="51" x14ac:dyDescent="0.25">
      <c r="A13" s="87">
        <v>9</v>
      </c>
      <c r="B13" s="87" t="s">
        <v>240</v>
      </c>
      <c r="C13" s="150">
        <v>4.4000000000000004</v>
      </c>
      <c r="D13" s="150">
        <v>1.1000000000000001</v>
      </c>
      <c r="E13" s="89">
        <f t="shared" si="5"/>
        <v>3000</v>
      </c>
      <c r="F13" s="89">
        <f t="shared" si="6"/>
        <v>600</v>
      </c>
      <c r="G13" s="91">
        <v>3600</v>
      </c>
      <c r="H13" s="87" t="s">
        <v>128</v>
      </c>
      <c r="I13" s="87" t="s">
        <v>23</v>
      </c>
      <c r="J13" s="91">
        <f>ROUND((G13*12),-3)</f>
        <v>43000</v>
      </c>
      <c r="K13" s="91">
        <f t="shared" si="11"/>
        <v>66000</v>
      </c>
      <c r="L13" s="91">
        <f t="shared" si="3"/>
        <v>13.200000000000001</v>
      </c>
      <c r="M13" s="91">
        <f t="shared" si="4"/>
        <v>37.18</v>
      </c>
      <c r="N13" s="91">
        <f t="shared" si="8"/>
        <v>655.70999999999992</v>
      </c>
      <c r="O13" s="91">
        <f t="shared" si="12"/>
        <v>706.08999999999992</v>
      </c>
      <c r="P13" s="89">
        <v>3600</v>
      </c>
      <c r="R13" s="151"/>
      <c r="S13" s="151"/>
    </row>
    <row r="14" spans="1:20" s="7" customFormat="1" ht="38.25" x14ac:dyDescent="0.25">
      <c r="A14" s="87">
        <v>10</v>
      </c>
      <c r="B14" s="87" t="s">
        <v>241</v>
      </c>
      <c r="C14" s="150">
        <v>12.6</v>
      </c>
      <c r="D14" s="150">
        <v>4.8</v>
      </c>
      <c r="E14" s="89">
        <f t="shared" si="5"/>
        <v>13000</v>
      </c>
      <c r="F14" s="89">
        <f t="shared" si="6"/>
        <v>5000</v>
      </c>
      <c r="G14" s="91">
        <f>ROUND((C14*10000*0.3*0.5*20*0.7/15),-3)</f>
        <v>18000</v>
      </c>
      <c r="H14" s="87" t="s">
        <v>140</v>
      </c>
      <c r="I14" s="87" t="s">
        <v>23</v>
      </c>
      <c r="J14" s="91">
        <f t="shared" ref="J14:J24" si="13">G14*12</f>
        <v>216000</v>
      </c>
      <c r="K14" s="91">
        <f t="shared" ref="K14" si="14">ROUND((J14/0.65),-3)</f>
        <v>332000</v>
      </c>
      <c r="L14" s="91">
        <f t="shared" si="3"/>
        <v>37.799999999999997</v>
      </c>
      <c r="M14" s="91">
        <f t="shared" si="4"/>
        <v>106.46999999999998</v>
      </c>
      <c r="N14" s="91">
        <f t="shared" si="8"/>
        <v>3298.4199999999996</v>
      </c>
      <c r="O14" s="91">
        <f t="shared" si="7"/>
        <v>3442.6899999999996</v>
      </c>
      <c r="P14" s="89">
        <f>G14</f>
        <v>18000</v>
      </c>
      <c r="Q14" s="149"/>
      <c r="R14" s="151"/>
      <c r="S14" s="151"/>
    </row>
    <row r="15" spans="1:20" s="7" customFormat="1" ht="51" x14ac:dyDescent="0.25">
      <c r="A15" s="87">
        <v>11</v>
      </c>
      <c r="B15" s="87" t="s">
        <v>242</v>
      </c>
      <c r="C15" s="150">
        <v>5.2</v>
      </c>
      <c r="D15" s="150">
        <v>5.2</v>
      </c>
      <c r="E15" s="89">
        <f t="shared" si="5"/>
        <v>17000</v>
      </c>
      <c r="F15" s="89">
        <f t="shared" si="6"/>
        <v>7000</v>
      </c>
      <c r="G15" s="91">
        <f>ROUND((C15*10000*0.4*20*0.7/12),-3)</f>
        <v>24000</v>
      </c>
      <c r="H15" s="87" t="s">
        <v>129</v>
      </c>
      <c r="I15" s="87" t="s">
        <v>188</v>
      </c>
      <c r="J15" s="91">
        <f t="shared" si="13"/>
        <v>288000</v>
      </c>
      <c r="K15" s="91">
        <f t="shared" ref="K15:K17" si="15">ROUND((J15/0.65),-3)</f>
        <v>443000</v>
      </c>
      <c r="L15" s="91">
        <f t="shared" si="3"/>
        <v>15.600000000000001</v>
      </c>
      <c r="M15" s="91">
        <f t="shared" si="4"/>
        <v>43.94</v>
      </c>
      <c r="N15" s="91">
        <f t="shared" ref="N15:N24" si="16">K15*0.009935</f>
        <v>4401.2049999999999</v>
      </c>
      <c r="O15" s="91">
        <f t="shared" si="7"/>
        <v>4460.7449999999999</v>
      </c>
      <c r="P15" s="89">
        <f>G15</f>
        <v>24000</v>
      </c>
      <c r="Q15" s="149"/>
      <c r="R15" s="151"/>
      <c r="S15" s="151"/>
    </row>
    <row r="16" spans="1:20" s="7" customFormat="1" ht="54.75" customHeight="1" x14ac:dyDescent="0.25">
      <c r="A16" s="87">
        <v>12</v>
      </c>
      <c r="B16" s="87" t="s">
        <v>243</v>
      </c>
      <c r="C16" s="150">
        <v>8.1999999999999993</v>
      </c>
      <c r="D16" s="150">
        <v>8.1999999999999993</v>
      </c>
      <c r="E16" s="89">
        <f t="shared" si="5"/>
        <v>21000</v>
      </c>
      <c r="F16" s="89">
        <f t="shared" si="6"/>
        <v>8000</v>
      </c>
      <c r="G16" s="91">
        <f>ROUND((C16*10000*0.4*15*0.7/12),-3)</f>
        <v>29000</v>
      </c>
      <c r="H16" s="87" t="s">
        <v>125</v>
      </c>
      <c r="I16" s="87" t="s">
        <v>23</v>
      </c>
      <c r="J16" s="91">
        <f t="shared" si="13"/>
        <v>348000</v>
      </c>
      <c r="K16" s="91">
        <f t="shared" si="15"/>
        <v>535000</v>
      </c>
      <c r="L16" s="91">
        <f t="shared" si="3"/>
        <v>24.599999999999998</v>
      </c>
      <c r="M16" s="91">
        <f t="shared" si="4"/>
        <v>69.289999999999992</v>
      </c>
      <c r="N16" s="91">
        <f t="shared" si="16"/>
        <v>5315.2249999999995</v>
      </c>
      <c r="O16" s="91">
        <f t="shared" si="7"/>
        <v>5409.1149999999998</v>
      </c>
      <c r="P16" s="89">
        <f>G16</f>
        <v>29000</v>
      </c>
      <c r="R16" s="151"/>
      <c r="S16" s="151"/>
    </row>
    <row r="17" spans="1:19" s="7" customFormat="1" ht="51" x14ac:dyDescent="0.25">
      <c r="A17" s="87">
        <v>13</v>
      </c>
      <c r="B17" s="87" t="s">
        <v>244</v>
      </c>
      <c r="C17" s="150">
        <v>12</v>
      </c>
      <c r="D17" s="150">
        <v>4.2</v>
      </c>
      <c r="E17" s="89">
        <f t="shared" si="5"/>
        <v>14000</v>
      </c>
      <c r="F17" s="89">
        <f t="shared" si="6"/>
        <v>5000</v>
      </c>
      <c r="G17" s="91">
        <f>ROUND((C17*10000*0.3*0.5*18*0.7/12),-3)</f>
        <v>19000</v>
      </c>
      <c r="H17" s="87" t="s">
        <v>140</v>
      </c>
      <c r="I17" s="87" t="s">
        <v>22</v>
      </c>
      <c r="J17" s="91">
        <f t="shared" si="13"/>
        <v>228000</v>
      </c>
      <c r="K17" s="91">
        <f t="shared" si="15"/>
        <v>351000</v>
      </c>
      <c r="L17" s="91">
        <f t="shared" si="3"/>
        <v>36</v>
      </c>
      <c r="M17" s="91">
        <f t="shared" si="4"/>
        <v>101.39999999999999</v>
      </c>
      <c r="N17" s="91">
        <f t="shared" si="16"/>
        <v>3487.1849999999999</v>
      </c>
      <c r="O17" s="91">
        <f t="shared" si="7"/>
        <v>3624.585</v>
      </c>
      <c r="P17" s="89">
        <f>G17</f>
        <v>19000</v>
      </c>
      <c r="R17" s="151"/>
      <c r="S17" s="151"/>
    </row>
    <row r="18" spans="1:19" s="7" customFormat="1" ht="38.25" x14ac:dyDescent="0.25">
      <c r="A18" s="87">
        <v>14</v>
      </c>
      <c r="B18" s="87" t="s">
        <v>245</v>
      </c>
      <c r="C18" s="90">
        <f>G18*12/(10000*0.3*0.5*18*0.7)</f>
        <v>24.761904761904763</v>
      </c>
      <c r="D18" s="90">
        <f>C18*0.3</f>
        <v>7.4285714285714288</v>
      </c>
      <c r="E18" s="89">
        <v>28000</v>
      </c>
      <c r="F18" s="89">
        <f t="shared" si="6"/>
        <v>11000</v>
      </c>
      <c r="G18" s="91">
        <f>ROUND((E18*1.4),-3)</f>
        <v>39000</v>
      </c>
      <c r="H18" s="87" t="s">
        <v>130</v>
      </c>
      <c r="I18" s="87" t="s">
        <v>22</v>
      </c>
      <c r="J18" s="91">
        <f t="shared" si="13"/>
        <v>468000</v>
      </c>
      <c r="K18" s="91">
        <f>ROUND((J18/0.65),-3)</f>
        <v>720000</v>
      </c>
      <c r="L18" s="91">
        <f t="shared" si="3"/>
        <v>74.285714285714292</v>
      </c>
      <c r="M18" s="91">
        <f t="shared" si="4"/>
        <v>209.23809523809524</v>
      </c>
      <c r="N18" s="91">
        <f t="shared" si="16"/>
        <v>7153.2</v>
      </c>
      <c r="O18" s="91">
        <f t="shared" si="7"/>
        <v>7436.723809523809</v>
      </c>
      <c r="P18" s="89">
        <f>'Biểu 1'!Q16+'Biểu 1'!Q17</f>
        <v>28000</v>
      </c>
      <c r="R18" s="151"/>
      <c r="S18" s="151"/>
    </row>
    <row r="19" spans="1:19" s="7" customFormat="1" ht="51" x14ac:dyDescent="0.25">
      <c r="A19" s="87">
        <v>15</v>
      </c>
      <c r="B19" s="87" t="s">
        <v>190</v>
      </c>
      <c r="C19" s="150">
        <v>5</v>
      </c>
      <c r="D19" s="90">
        <f>C19*0.3</f>
        <v>1.5</v>
      </c>
      <c r="E19" s="89">
        <f t="shared" si="5"/>
        <v>2000</v>
      </c>
      <c r="F19" s="89">
        <f t="shared" si="6"/>
        <v>1000</v>
      </c>
      <c r="G19" s="91">
        <f>ROUND((C19*10000*0.2*0.4*18*0.65/15),-3)</f>
        <v>3000</v>
      </c>
      <c r="H19" s="87" t="s">
        <v>128</v>
      </c>
      <c r="I19" s="87" t="s">
        <v>22</v>
      </c>
      <c r="J19" s="91">
        <f t="shared" si="13"/>
        <v>36000</v>
      </c>
      <c r="K19" s="91">
        <f t="shared" ref="K19:K20" si="17">ROUND((J19/0.65),-3)</f>
        <v>55000</v>
      </c>
      <c r="L19" s="91">
        <f t="shared" si="3"/>
        <v>15</v>
      </c>
      <c r="M19" s="91">
        <f t="shared" si="4"/>
        <v>42.25</v>
      </c>
      <c r="N19" s="91">
        <f t="shared" si="16"/>
        <v>546.42499999999995</v>
      </c>
      <c r="O19" s="91">
        <f t="shared" si="7"/>
        <v>603.67499999999995</v>
      </c>
      <c r="P19" s="89">
        <v>3000</v>
      </c>
      <c r="Q19" s="149"/>
      <c r="R19" s="151"/>
      <c r="S19" s="151"/>
    </row>
    <row r="20" spans="1:19" s="7" customFormat="1" ht="38.25" x14ac:dyDescent="0.25">
      <c r="A20" s="71">
        <v>16</v>
      </c>
      <c r="B20" s="87" t="s">
        <v>246</v>
      </c>
      <c r="C20" s="90">
        <v>20</v>
      </c>
      <c r="D20" s="90">
        <v>20</v>
      </c>
      <c r="E20" s="89">
        <f t="shared" si="5"/>
        <v>60000</v>
      </c>
      <c r="F20" s="89">
        <f t="shared" si="6"/>
        <v>24000</v>
      </c>
      <c r="G20" s="91">
        <f>ROUND((C20*10000*0.4*18*0.7/12),-3)</f>
        <v>84000</v>
      </c>
      <c r="H20" s="88" t="s">
        <v>131</v>
      </c>
      <c r="I20" s="88" t="s">
        <v>22</v>
      </c>
      <c r="J20" s="89">
        <f t="shared" si="13"/>
        <v>1008000</v>
      </c>
      <c r="K20" s="91">
        <f t="shared" si="17"/>
        <v>1551000</v>
      </c>
      <c r="L20" s="89">
        <f t="shared" si="3"/>
        <v>60</v>
      </c>
      <c r="M20" s="91">
        <f t="shared" si="4"/>
        <v>169</v>
      </c>
      <c r="N20" s="91">
        <f t="shared" si="16"/>
        <v>15409.184999999999</v>
      </c>
      <c r="O20" s="89">
        <f t="shared" ref="O20" si="18">L20+M20+N20</f>
        <v>15638.184999999999</v>
      </c>
      <c r="P20" s="89">
        <f>G20</f>
        <v>84000</v>
      </c>
      <c r="R20" s="151"/>
      <c r="S20" s="151"/>
    </row>
    <row r="21" spans="1:19" s="7" customFormat="1" ht="38.25" x14ac:dyDescent="0.25">
      <c r="A21" s="71">
        <v>17</v>
      </c>
      <c r="B21" s="87" t="s">
        <v>159</v>
      </c>
      <c r="C21" s="90">
        <f>G21*12/(10000*0.3*0.5*18*0.7)</f>
        <v>31.746031746031747</v>
      </c>
      <c r="D21" s="90">
        <f>C21*0.3</f>
        <v>9.5238095238095237</v>
      </c>
      <c r="E21" s="89">
        <v>36000</v>
      </c>
      <c r="F21" s="89">
        <f t="shared" si="6"/>
        <v>14000</v>
      </c>
      <c r="G21" s="91">
        <f>ROUND((E21*1.4),-3)</f>
        <v>50000</v>
      </c>
      <c r="H21" s="88" t="s">
        <v>132</v>
      </c>
      <c r="I21" s="88" t="s">
        <v>22</v>
      </c>
      <c r="J21" s="89">
        <f t="shared" si="13"/>
        <v>600000</v>
      </c>
      <c r="K21" s="89">
        <f>ROUND((J21/0.65),-3)</f>
        <v>923000</v>
      </c>
      <c r="L21" s="89">
        <f t="shared" si="3"/>
        <v>95.238095238095241</v>
      </c>
      <c r="M21" s="91">
        <f t="shared" si="4"/>
        <v>268.25396825396825</v>
      </c>
      <c r="N21" s="91">
        <f t="shared" si="16"/>
        <v>9170.0049999999992</v>
      </c>
      <c r="O21" s="89">
        <f t="shared" ref="O21:O23" si="19">L21+M21+N21</f>
        <v>9533.4970634920628</v>
      </c>
      <c r="P21" s="89">
        <f>'Biểu 1'!Q18</f>
        <v>36000</v>
      </c>
    </row>
    <row r="22" spans="1:19" s="7" customFormat="1" ht="47.25" customHeight="1" x14ac:dyDescent="0.25">
      <c r="A22" s="71">
        <v>18</v>
      </c>
      <c r="B22" s="87" t="s">
        <v>194</v>
      </c>
      <c r="C22" s="90">
        <v>5</v>
      </c>
      <c r="D22" s="90">
        <v>1.9</v>
      </c>
      <c r="E22" s="89">
        <f t="shared" si="5"/>
        <v>7000</v>
      </c>
      <c r="F22" s="89">
        <f t="shared" si="6"/>
        <v>3000</v>
      </c>
      <c r="G22" s="91">
        <v>10000</v>
      </c>
      <c r="H22" s="88" t="s">
        <v>132</v>
      </c>
      <c r="I22" s="88" t="s">
        <v>188</v>
      </c>
      <c r="J22" s="89">
        <f t="shared" si="13"/>
        <v>120000</v>
      </c>
      <c r="K22" s="89">
        <f t="shared" ref="K22:K23" si="20">ROUND((J22/0.65),-3)</f>
        <v>185000</v>
      </c>
      <c r="L22" s="89">
        <f t="shared" si="3"/>
        <v>15</v>
      </c>
      <c r="M22" s="91">
        <f t="shared" si="4"/>
        <v>42.25</v>
      </c>
      <c r="N22" s="91">
        <f t="shared" si="16"/>
        <v>1837.9749999999999</v>
      </c>
      <c r="O22" s="89">
        <f t="shared" si="19"/>
        <v>1895.2249999999999</v>
      </c>
      <c r="P22" s="89">
        <v>10000</v>
      </c>
    </row>
    <row r="23" spans="1:19" s="7" customFormat="1" ht="38.25" x14ac:dyDescent="0.25">
      <c r="A23" s="89">
        <v>19</v>
      </c>
      <c r="B23" s="87" t="s">
        <v>195</v>
      </c>
      <c r="C23" s="89">
        <f>G23*12/(10000*0.3*0.5*18*0.7)</f>
        <v>26.031746031746032</v>
      </c>
      <c r="D23" s="90">
        <f>C23*0.3</f>
        <v>7.8095238095238093</v>
      </c>
      <c r="E23" s="89">
        <v>29000</v>
      </c>
      <c r="F23" s="89">
        <f t="shared" si="6"/>
        <v>12000</v>
      </c>
      <c r="G23" s="91">
        <f>ROUND((E23*1.4),-3)</f>
        <v>41000</v>
      </c>
      <c r="H23" s="91" t="s">
        <v>133</v>
      </c>
      <c r="I23" s="91" t="s">
        <v>22</v>
      </c>
      <c r="J23" s="89">
        <f t="shared" si="13"/>
        <v>492000</v>
      </c>
      <c r="K23" s="89">
        <f t="shared" si="20"/>
        <v>757000</v>
      </c>
      <c r="L23" s="89">
        <f t="shared" si="3"/>
        <v>78.095238095238102</v>
      </c>
      <c r="M23" s="89">
        <f t="shared" si="4"/>
        <v>219.96825396825395</v>
      </c>
      <c r="N23" s="89">
        <f t="shared" si="16"/>
        <v>7520.7949999999992</v>
      </c>
      <c r="O23" s="89">
        <f t="shared" si="19"/>
        <v>7818.8584920634912</v>
      </c>
      <c r="P23" s="89">
        <f>'Biểu 1'!Q19</f>
        <v>29000</v>
      </c>
    </row>
    <row r="24" spans="1:19" s="7" customFormat="1" ht="25.5" x14ac:dyDescent="0.25">
      <c r="A24" s="89">
        <v>20</v>
      </c>
      <c r="B24" s="91" t="s">
        <v>247</v>
      </c>
      <c r="C24" s="89">
        <f>G24*12/(10000*0.3*0.5*18*0.7)</f>
        <v>13.333333333333334</v>
      </c>
      <c r="D24" s="90">
        <f>C24*0.3</f>
        <v>4</v>
      </c>
      <c r="E24" s="89">
        <v>15000</v>
      </c>
      <c r="F24" s="89">
        <f t="shared" si="6"/>
        <v>6000</v>
      </c>
      <c r="G24" s="91">
        <f>ROUND((E24*1.4),-3)</f>
        <v>21000</v>
      </c>
      <c r="H24" s="91" t="s">
        <v>181</v>
      </c>
      <c r="I24" s="91" t="s">
        <v>22</v>
      </c>
      <c r="J24" s="89">
        <f t="shared" si="13"/>
        <v>252000</v>
      </c>
      <c r="K24" s="89">
        <f t="shared" ref="K24" si="21">ROUND((J24/0.65),-3)</f>
        <v>388000</v>
      </c>
      <c r="L24" s="89">
        <f t="shared" si="3"/>
        <v>40</v>
      </c>
      <c r="M24" s="89">
        <f t="shared" si="4"/>
        <v>112.66666666666666</v>
      </c>
      <c r="N24" s="89">
        <f t="shared" si="16"/>
        <v>3854.7799999999997</v>
      </c>
      <c r="O24" s="89">
        <f t="shared" ref="O24" si="22">L24+M24+N24</f>
        <v>4007.4466666666663</v>
      </c>
      <c r="P24" s="89">
        <f>'Biểu 1'!Q20</f>
        <v>10000</v>
      </c>
    </row>
    <row r="25" spans="1:19" s="7" customFormat="1" ht="38.25" x14ac:dyDescent="0.25">
      <c r="A25" s="155" t="s">
        <v>123</v>
      </c>
      <c r="B25" s="92" t="s">
        <v>214</v>
      </c>
      <c r="C25" s="93">
        <f>SUM(C26:C34)</f>
        <v>0</v>
      </c>
      <c r="D25" s="93">
        <f>C25*0.35</f>
        <v>0</v>
      </c>
      <c r="E25" s="94">
        <f t="shared" ref="E25:F25" si="23">SUM(E26:E34)</f>
        <v>0</v>
      </c>
      <c r="F25" s="94">
        <f t="shared" si="23"/>
        <v>0</v>
      </c>
      <c r="G25" s="94">
        <f t="shared" ref="G25:P25" si="24">SUM(G26:G34)</f>
        <v>0</v>
      </c>
      <c r="H25" s="93">
        <f t="shared" si="24"/>
        <v>0</v>
      </c>
      <c r="I25" s="93">
        <f t="shared" si="24"/>
        <v>0</v>
      </c>
      <c r="J25" s="94">
        <f>SUM(J26:J34)</f>
        <v>0</v>
      </c>
      <c r="K25" s="94">
        <f t="shared" si="24"/>
        <v>0</v>
      </c>
      <c r="L25" s="94">
        <f t="shared" si="24"/>
        <v>0</v>
      </c>
      <c r="M25" s="94">
        <f t="shared" si="24"/>
        <v>0</v>
      </c>
      <c r="N25" s="94">
        <f t="shared" si="24"/>
        <v>0</v>
      </c>
      <c r="O25" s="94">
        <f t="shared" si="24"/>
        <v>0</v>
      </c>
      <c r="P25" s="94">
        <f t="shared" si="24"/>
        <v>0</v>
      </c>
      <c r="S25" s="89"/>
    </row>
    <row r="26" spans="1:19" s="7" customFormat="1" ht="25.5" x14ac:dyDescent="0.25">
      <c r="A26" s="71">
        <v>1</v>
      </c>
      <c r="B26" s="87" t="s">
        <v>105</v>
      </c>
      <c r="C26" s="90">
        <f t="shared" ref="C26:C34" si="25">G26*12/(10000*0.4*0.5*15*0.65)</f>
        <v>0</v>
      </c>
      <c r="D26" s="90"/>
      <c r="E26" s="89">
        <f>ROUND(('Biểu 1'!V22),-3)</f>
        <v>0</v>
      </c>
      <c r="F26" s="89">
        <f>G26-E26</f>
        <v>0</v>
      </c>
      <c r="G26" s="89">
        <f>E26*1.4</f>
        <v>0</v>
      </c>
      <c r="H26" s="95"/>
      <c r="I26" s="95"/>
      <c r="J26" s="89">
        <f t="shared" ref="J26:J35" si="26">G26*12</f>
        <v>0</v>
      </c>
      <c r="K26" s="89">
        <f t="shared" ref="K26:K35" si="27">ROUND((J26/0.65),-3)</f>
        <v>0</v>
      </c>
      <c r="L26" s="89">
        <f t="shared" ref="L26:L34" si="28">C26*3</f>
        <v>0</v>
      </c>
      <c r="M26" s="91">
        <f t="shared" ref="M26:M34" si="29">C26*8.45</f>
        <v>0</v>
      </c>
      <c r="N26" s="91">
        <f t="shared" ref="N26:N34" si="30">K26*0.009935</f>
        <v>0</v>
      </c>
      <c r="O26" s="89">
        <f t="shared" ref="O26:O27" si="31">L26+M26+N26</f>
        <v>0</v>
      </c>
      <c r="P26" s="89">
        <f>ROUND(('Biểu 1'!V22),-3)</f>
        <v>0</v>
      </c>
      <c r="S26" s="89"/>
    </row>
    <row r="27" spans="1:19" s="7" customFormat="1" x14ac:dyDescent="0.25">
      <c r="A27" s="71">
        <v>2</v>
      </c>
      <c r="B27" s="87" t="s">
        <v>106</v>
      </c>
      <c r="C27" s="90">
        <f t="shared" si="25"/>
        <v>0</v>
      </c>
      <c r="D27" s="90"/>
      <c r="E27" s="89">
        <f>ROUND(('Biểu 1'!V29),-3)</f>
        <v>0</v>
      </c>
      <c r="F27" s="89">
        <f t="shared" ref="F27:F34" si="32">G27-E27</f>
        <v>0</v>
      </c>
      <c r="G27" s="89">
        <f t="shared" ref="G27:G34" si="33">E27*1.4</f>
        <v>0</v>
      </c>
      <c r="H27" s="95"/>
      <c r="I27" s="95"/>
      <c r="J27" s="89">
        <f t="shared" si="26"/>
        <v>0</v>
      </c>
      <c r="K27" s="89">
        <f t="shared" si="27"/>
        <v>0</v>
      </c>
      <c r="L27" s="89">
        <f t="shared" si="28"/>
        <v>0</v>
      </c>
      <c r="M27" s="91">
        <f t="shared" si="29"/>
        <v>0</v>
      </c>
      <c r="N27" s="91">
        <f t="shared" si="30"/>
        <v>0</v>
      </c>
      <c r="O27" s="89">
        <f t="shared" si="31"/>
        <v>0</v>
      </c>
      <c r="P27" s="89">
        <f>ROUND(('Biểu 1'!V29),-3)</f>
        <v>0</v>
      </c>
      <c r="S27" s="89"/>
    </row>
    <row r="28" spans="1:19" s="7" customFormat="1" x14ac:dyDescent="0.25">
      <c r="A28" s="71">
        <v>3</v>
      </c>
      <c r="B28" s="87" t="s">
        <v>111</v>
      </c>
      <c r="C28" s="90">
        <f t="shared" si="25"/>
        <v>0</v>
      </c>
      <c r="D28" s="90"/>
      <c r="E28" s="89">
        <f>ROUND(('Biểu 1'!V49),-3)</f>
        <v>0</v>
      </c>
      <c r="F28" s="89">
        <f t="shared" si="32"/>
        <v>0</v>
      </c>
      <c r="G28" s="89">
        <f t="shared" si="33"/>
        <v>0</v>
      </c>
      <c r="H28" s="95"/>
      <c r="I28" s="95"/>
      <c r="J28" s="89">
        <f t="shared" si="26"/>
        <v>0</v>
      </c>
      <c r="K28" s="89">
        <f>ROUND((J28/0.65),-3)</f>
        <v>0</v>
      </c>
      <c r="L28" s="89">
        <f t="shared" si="28"/>
        <v>0</v>
      </c>
      <c r="M28" s="91">
        <f t="shared" si="29"/>
        <v>0</v>
      </c>
      <c r="N28" s="91">
        <f t="shared" si="30"/>
        <v>0</v>
      </c>
      <c r="O28" s="89">
        <f>L28+M28+N28</f>
        <v>0</v>
      </c>
      <c r="P28" s="89">
        <f>ROUND(('Biểu 1'!V49),-3)</f>
        <v>0</v>
      </c>
    </row>
    <row r="29" spans="1:19" s="7" customFormat="1" x14ac:dyDescent="0.25">
      <c r="A29" s="71">
        <v>4</v>
      </c>
      <c r="B29" s="87" t="s">
        <v>107</v>
      </c>
      <c r="C29" s="90">
        <f t="shared" si="25"/>
        <v>0</v>
      </c>
      <c r="D29" s="90"/>
      <c r="E29" s="89">
        <f>ROUND(('Biểu 1'!V32),-3)</f>
        <v>0</v>
      </c>
      <c r="F29" s="89">
        <f t="shared" si="32"/>
        <v>0</v>
      </c>
      <c r="G29" s="89">
        <f t="shared" si="33"/>
        <v>0</v>
      </c>
      <c r="H29" s="95"/>
      <c r="I29" s="95"/>
      <c r="J29" s="89">
        <f t="shared" si="26"/>
        <v>0</v>
      </c>
      <c r="K29" s="89">
        <f t="shared" si="27"/>
        <v>0</v>
      </c>
      <c r="L29" s="89">
        <f t="shared" si="28"/>
        <v>0</v>
      </c>
      <c r="M29" s="91">
        <f t="shared" si="29"/>
        <v>0</v>
      </c>
      <c r="N29" s="91">
        <f t="shared" si="30"/>
        <v>0</v>
      </c>
      <c r="O29" s="89">
        <f t="shared" ref="O29" si="34">L29+M29+N29</f>
        <v>0</v>
      </c>
      <c r="P29" s="89">
        <f>ROUND(('Biểu 1'!V32),-3)</f>
        <v>0</v>
      </c>
    </row>
    <row r="30" spans="1:19" s="7" customFormat="1" x14ac:dyDescent="0.25">
      <c r="A30" s="71">
        <v>5</v>
      </c>
      <c r="B30" s="87" t="s">
        <v>110</v>
      </c>
      <c r="C30" s="90">
        <f t="shared" si="25"/>
        <v>0</v>
      </c>
      <c r="D30" s="90"/>
      <c r="E30" s="89">
        <f>ROUND(('Biểu 1'!V43),-3)</f>
        <v>0</v>
      </c>
      <c r="F30" s="89">
        <f t="shared" si="32"/>
        <v>0</v>
      </c>
      <c r="G30" s="89">
        <f t="shared" si="33"/>
        <v>0</v>
      </c>
      <c r="H30" s="95"/>
      <c r="I30" s="95"/>
      <c r="J30" s="89">
        <f t="shared" si="26"/>
        <v>0</v>
      </c>
      <c r="K30" s="89">
        <f t="shared" si="27"/>
        <v>0</v>
      </c>
      <c r="L30" s="89">
        <f t="shared" si="28"/>
        <v>0</v>
      </c>
      <c r="M30" s="91">
        <f t="shared" si="29"/>
        <v>0</v>
      </c>
      <c r="N30" s="91">
        <f t="shared" si="30"/>
        <v>0</v>
      </c>
      <c r="O30" s="89">
        <f t="shared" ref="O30" si="35">L30+M30+N30</f>
        <v>0</v>
      </c>
      <c r="P30" s="89">
        <f>ROUND(('Biểu 1'!V43),-3)</f>
        <v>0</v>
      </c>
    </row>
    <row r="31" spans="1:19" s="7" customFormat="1" x14ac:dyDescent="0.25">
      <c r="A31" s="155">
        <v>6</v>
      </c>
      <c r="B31" s="87" t="s">
        <v>112</v>
      </c>
      <c r="C31" s="90">
        <f t="shared" si="25"/>
        <v>0</v>
      </c>
      <c r="D31" s="90"/>
      <c r="E31" s="89">
        <f>ROUND(('Biểu 1'!V52),-3)</f>
        <v>0</v>
      </c>
      <c r="F31" s="89">
        <f t="shared" si="32"/>
        <v>0</v>
      </c>
      <c r="G31" s="89">
        <f t="shared" si="33"/>
        <v>0</v>
      </c>
      <c r="H31" s="95"/>
      <c r="I31" s="95"/>
      <c r="J31" s="89">
        <f t="shared" si="26"/>
        <v>0</v>
      </c>
      <c r="K31" s="89">
        <f t="shared" ref="K31" si="36">ROUND((J31/0.65),-3)</f>
        <v>0</v>
      </c>
      <c r="L31" s="89">
        <f t="shared" si="28"/>
        <v>0</v>
      </c>
      <c r="M31" s="91">
        <f t="shared" si="29"/>
        <v>0</v>
      </c>
      <c r="N31" s="91">
        <f t="shared" si="30"/>
        <v>0</v>
      </c>
      <c r="O31" s="89">
        <f t="shared" ref="O31" si="37">L31+M31+N31</f>
        <v>0</v>
      </c>
      <c r="P31" s="89">
        <f>ROUND(('Biểu 1'!V52),-3)</f>
        <v>0</v>
      </c>
    </row>
    <row r="32" spans="1:19" s="7" customFormat="1" x14ac:dyDescent="0.25">
      <c r="A32" s="71">
        <v>7</v>
      </c>
      <c r="B32" s="87" t="s">
        <v>108</v>
      </c>
      <c r="C32" s="90">
        <f t="shared" si="25"/>
        <v>0</v>
      </c>
      <c r="D32" s="90"/>
      <c r="E32" s="89">
        <f>ROUND(('Biểu 1'!V37),-3)</f>
        <v>0</v>
      </c>
      <c r="F32" s="89">
        <f t="shared" si="32"/>
        <v>0</v>
      </c>
      <c r="G32" s="89">
        <f t="shared" si="33"/>
        <v>0</v>
      </c>
      <c r="H32" s="95"/>
      <c r="I32" s="95"/>
      <c r="J32" s="89">
        <f t="shared" si="26"/>
        <v>0</v>
      </c>
      <c r="K32" s="89">
        <f>ROUND((J32/0.65),-3)</f>
        <v>0</v>
      </c>
      <c r="L32" s="89">
        <f t="shared" si="28"/>
        <v>0</v>
      </c>
      <c r="M32" s="91">
        <f t="shared" si="29"/>
        <v>0</v>
      </c>
      <c r="N32" s="91">
        <f t="shared" si="30"/>
        <v>0</v>
      </c>
      <c r="O32" s="89">
        <f>L32+M32+N32</f>
        <v>0</v>
      </c>
      <c r="P32" s="89">
        <f>ROUND(('Biểu 1'!V37),-3)</f>
        <v>0</v>
      </c>
    </row>
    <row r="33" spans="1:16" s="7" customFormat="1" x14ac:dyDescent="0.25">
      <c r="A33" s="71">
        <v>8</v>
      </c>
      <c r="B33" s="87" t="s">
        <v>109</v>
      </c>
      <c r="C33" s="90">
        <f t="shared" si="25"/>
        <v>0</v>
      </c>
      <c r="D33" s="90"/>
      <c r="E33" s="89">
        <f>ROUND(('Biểu 1'!V41),-3)</f>
        <v>0</v>
      </c>
      <c r="F33" s="89">
        <f t="shared" si="32"/>
        <v>0</v>
      </c>
      <c r="G33" s="89">
        <f t="shared" si="33"/>
        <v>0</v>
      </c>
      <c r="H33" s="95"/>
      <c r="I33" s="95"/>
      <c r="J33" s="89">
        <f t="shared" si="26"/>
        <v>0</v>
      </c>
      <c r="K33" s="89">
        <f>ROUND((J33/0.65),-3)</f>
        <v>0</v>
      </c>
      <c r="L33" s="89">
        <f t="shared" si="28"/>
        <v>0</v>
      </c>
      <c r="M33" s="91">
        <f t="shared" si="29"/>
        <v>0</v>
      </c>
      <c r="N33" s="91">
        <f t="shared" si="30"/>
        <v>0</v>
      </c>
      <c r="O33" s="89">
        <f>L33+M33+N33</f>
        <v>0</v>
      </c>
      <c r="P33" s="89">
        <f>ROUND(('Biểu 1'!V41),-3)</f>
        <v>0</v>
      </c>
    </row>
    <row r="34" spans="1:16" s="7" customFormat="1" ht="18" customHeight="1" x14ac:dyDescent="0.25">
      <c r="A34" s="156">
        <v>10</v>
      </c>
      <c r="B34" s="96" t="s">
        <v>113</v>
      </c>
      <c r="C34" s="157">
        <f t="shared" si="25"/>
        <v>0</v>
      </c>
      <c r="D34" s="157"/>
      <c r="E34" s="98">
        <f>ROUND(('Biểu 1'!V57),-3)</f>
        <v>0</v>
      </c>
      <c r="F34" s="89">
        <f t="shared" si="32"/>
        <v>0</v>
      </c>
      <c r="G34" s="89">
        <f t="shared" si="33"/>
        <v>0</v>
      </c>
      <c r="H34" s="97"/>
      <c r="I34" s="97"/>
      <c r="J34" s="98">
        <f t="shared" si="26"/>
        <v>0</v>
      </c>
      <c r="K34" s="98">
        <f t="shared" si="27"/>
        <v>0</v>
      </c>
      <c r="L34" s="98">
        <f t="shared" si="28"/>
        <v>0</v>
      </c>
      <c r="M34" s="158">
        <f t="shared" si="29"/>
        <v>0</v>
      </c>
      <c r="N34" s="158">
        <f t="shared" si="30"/>
        <v>0</v>
      </c>
      <c r="O34" s="98">
        <f t="shared" ref="O34" si="38">L34+M34+N34</f>
        <v>0</v>
      </c>
      <c r="P34" s="98">
        <f>ROUND(('Biểu 1'!V57),-3)</f>
        <v>0</v>
      </c>
    </row>
    <row r="35" spans="1:16" s="7" customFormat="1" ht="25.5" x14ac:dyDescent="0.25">
      <c r="A35" s="102"/>
      <c r="B35" s="99" t="s">
        <v>134</v>
      </c>
      <c r="C35" s="100">
        <f>G35*12/(10000*0.3*0.5*18*0.7)</f>
        <v>610.79365079365084</v>
      </c>
      <c r="D35" s="100">
        <f>C35*0.3</f>
        <v>183.23809523809524</v>
      </c>
      <c r="E35" s="101">
        <f>ROUND(('Biểu 1'!Q60),-3)</f>
        <v>687000</v>
      </c>
      <c r="F35" s="101">
        <f>G35-E35</f>
        <v>275000</v>
      </c>
      <c r="G35" s="101">
        <f>ROUND((E35*1.4),-3)</f>
        <v>962000</v>
      </c>
      <c r="H35" s="102"/>
      <c r="I35" s="102"/>
      <c r="J35" s="101">
        <f t="shared" si="26"/>
        <v>11544000</v>
      </c>
      <c r="K35" s="101">
        <f t="shared" si="27"/>
        <v>17760000</v>
      </c>
      <c r="L35" s="101"/>
      <c r="M35" s="101"/>
      <c r="N35" s="101"/>
      <c r="O35" s="101"/>
      <c r="P35" s="101">
        <f>ROUND(('Biểu 1'!Q60),-3)</f>
        <v>687000</v>
      </c>
    </row>
    <row r="36" spans="1:16" ht="19.5" customHeight="1" x14ac:dyDescent="0.25">
      <c r="A36" s="159"/>
      <c r="B36" s="160" t="s">
        <v>18</v>
      </c>
      <c r="C36" s="161"/>
      <c r="D36" s="161"/>
      <c r="E36" s="161"/>
      <c r="F36" s="161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1:16" x14ac:dyDescent="0.25">
      <c r="A37" s="159"/>
      <c r="B37" s="163" t="s">
        <v>163</v>
      </c>
      <c r="C37" s="161"/>
      <c r="D37" s="161"/>
      <c r="E37" s="161"/>
      <c r="F37" s="161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1:16" x14ac:dyDescent="0.25">
      <c r="A38" s="159"/>
      <c r="B38" s="163" t="s">
        <v>161</v>
      </c>
      <c r="C38" s="161"/>
      <c r="D38" s="161"/>
      <c r="E38" s="161"/>
      <c r="F38" s="161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1:16" x14ac:dyDescent="0.25">
      <c r="A39" s="159"/>
      <c r="B39" s="163" t="s">
        <v>162</v>
      </c>
      <c r="C39" s="161"/>
      <c r="D39" s="161"/>
      <c r="E39" s="161"/>
      <c r="F39" s="161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1:16" x14ac:dyDescent="0.25">
      <c r="A40" s="159"/>
      <c r="B40" s="163" t="s">
        <v>42</v>
      </c>
      <c r="C40" s="161"/>
      <c r="D40" s="161"/>
      <c r="E40" s="161"/>
      <c r="F40" s="161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1:16" x14ac:dyDescent="0.25">
      <c r="A41" s="159"/>
      <c r="B41" s="163" t="s">
        <v>212</v>
      </c>
      <c r="C41" s="161"/>
      <c r="D41" s="161"/>
      <c r="E41" s="161"/>
      <c r="F41" s="161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1:16" ht="53.25" customHeight="1" x14ac:dyDescent="0.25">
      <c r="A42" s="159"/>
      <c r="B42" s="164" t="s">
        <v>213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  <row r="46" spans="1:16" x14ac:dyDescent="0.25">
      <c r="C46" s="29"/>
      <c r="D46" s="29"/>
      <c r="E46" s="29"/>
      <c r="F46" s="29"/>
      <c r="G46" s="30"/>
      <c r="H46" s="31"/>
      <c r="I46" s="31"/>
      <c r="J46" s="30"/>
      <c r="K46" s="30"/>
    </row>
    <row r="49" spans="3:16" x14ac:dyDescent="0.25"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</row>
    <row r="50" spans="3:16" x14ac:dyDescent="0.25">
      <c r="G50" s="165"/>
      <c r="H50" s="165"/>
      <c r="I50" s="165"/>
      <c r="J50" s="165"/>
    </row>
    <row r="66" spans="2:2" x14ac:dyDescent="0.25">
      <c r="B66" s="167">
        <f>+H50</f>
        <v>0</v>
      </c>
    </row>
  </sheetData>
  <mergeCells count="2">
    <mergeCell ref="A1:P1"/>
    <mergeCell ref="B42:P42"/>
  </mergeCells>
  <pageMargins left="0.27559055118110198" right="0" top="0.75" bottom="0.47244094488188998" header="0.25" footer="0.31496062992126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M1"/>
    </sheetView>
  </sheetViews>
  <sheetFormatPr defaultRowHeight="15" x14ac:dyDescent="0.25"/>
  <cols>
    <col min="1" max="1" width="6.85546875" customWidth="1"/>
    <col min="2" max="2" width="25.7109375" customWidth="1"/>
    <col min="3" max="3" width="10.140625" style="1" customWidth="1"/>
    <col min="4" max="4" width="9.42578125" style="1" customWidth="1"/>
    <col min="7" max="7" width="8" customWidth="1"/>
    <col min="9" max="9" width="8.5703125" customWidth="1"/>
    <col min="10" max="10" width="8.85546875" customWidth="1"/>
    <col min="11" max="11" width="8.140625" customWidth="1"/>
    <col min="12" max="12" width="9.5703125" customWidth="1"/>
    <col min="13" max="13" width="8.5703125" customWidth="1"/>
  </cols>
  <sheetData>
    <row r="1" spans="1:17" ht="18.75" customHeight="1" x14ac:dyDescent="0.25">
      <c r="A1" s="135" t="s">
        <v>262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77"/>
    </row>
    <row r="2" spans="1:17" s="1" customFormat="1" x14ac:dyDescent="0.25"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76.5" x14ac:dyDescent="0.25">
      <c r="A3" s="74" t="s">
        <v>182</v>
      </c>
      <c r="B3" s="75" t="s">
        <v>183</v>
      </c>
      <c r="C3" s="122" t="s">
        <v>256</v>
      </c>
      <c r="D3" s="122" t="s">
        <v>255</v>
      </c>
      <c r="E3" s="76" t="s">
        <v>126</v>
      </c>
      <c r="F3" s="76" t="s">
        <v>128</v>
      </c>
      <c r="G3" s="76" t="s">
        <v>125</v>
      </c>
      <c r="H3" s="76" t="s">
        <v>185</v>
      </c>
      <c r="I3" s="76" t="s">
        <v>140</v>
      </c>
      <c r="J3" s="76" t="s">
        <v>130</v>
      </c>
      <c r="K3" s="76" t="s">
        <v>132</v>
      </c>
      <c r="L3" s="76" t="s">
        <v>186</v>
      </c>
      <c r="M3" s="76" t="s">
        <v>187</v>
      </c>
      <c r="N3" s="70" t="s">
        <v>215</v>
      </c>
      <c r="O3" s="8"/>
      <c r="P3" s="68"/>
      <c r="Q3" s="66"/>
    </row>
    <row r="4" spans="1:17" s="1" customFormat="1" ht="38.25" x14ac:dyDescent="0.25">
      <c r="A4" s="118"/>
      <c r="B4" s="119" t="s">
        <v>254</v>
      </c>
      <c r="C4" s="119"/>
      <c r="D4" s="119"/>
      <c r="E4" s="120">
        <v>14000</v>
      </c>
      <c r="F4" s="120">
        <v>50000</v>
      </c>
      <c r="G4" s="120">
        <v>53050</v>
      </c>
      <c r="H4" s="120">
        <v>15000</v>
      </c>
      <c r="I4" s="120">
        <v>23000</v>
      </c>
      <c r="J4" s="120">
        <v>28000</v>
      </c>
      <c r="K4" s="120">
        <v>36000</v>
      </c>
      <c r="L4" s="120">
        <v>29000</v>
      </c>
      <c r="M4" s="120">
        <v>15000</v>
      </c>
      <c r="N4" s="121"/>
      <c r="O4" s="3"/>
      <c r="P4" s="3"/>
      <c r="Q4" s="67"/>
    </row>
    <row r="5" spans="1:17" s="1" customFormat="1" ht="25.5" x14ac:dyDescent="0.25">
      <c r="A5" s="118"/>
      <c r="B5" s="119" t="s">
        <v>257</v>
      </c>
      <c r="C5" s="119"/>
      <c r="D5" s="119"/>
      <c r="E5" s="120">
        <f>ROUND((E4*1.4),-3)</f>
        <v>20000</v>
      </c>
      <c r="F5" s="120">
        <f t="shared" ref="F5:M5" si="0">ROUND((F4*1.4),-3)</f>
        <v>70000</v>
      </c>
      <c r="G5" s="120">
        <f t="shared" si="0"/>
        <v>74000</v>
      </c>
      <c r="H5" s="120">
        <f t="shared" si="0"/>
        <v>21000</v>
      </c>
      <c r="I5" s="120">
        <f t="shared" si="0"/>
        <v>32000</v>
      </c>
      <c r="J5" s="120">
        <f t="shared" si="0"/>
        <v>39000</v>
      </c>
      <c r="K5" s="120">
        <f t="shared" si="0"/>
        <v>50000</v>
      </c>
      <c r="L5" s="120">
        <f t="shared" si="0"/>
        <v>41000</v>
      </c>
      <c r="M5" s="120">
        <f t="shared" si="0"/>
        <v>21000</v>
      </c>
      <c r="N5" s="120"/>
      <c r="O5" s="103"/>
      <c r="P5" s="103"/>
      <c r="Q5" s="104"/>
    </row>
    <row r="6" spans="1:17" s="1" customFormat="1" ht="25.5" x14ac:dyDescent="0.25">
      <c r="A6" s="128"/>
      <c r="B6" s="129" t="s">
        <v>253</v>
      </c>
      <c r="C6" s="129"/>
      <c r="D6" s="129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03"/>
      <c r="P6" s="103"/>
      <c r="Q6" s="104"/>
    </row>
    <row r="7" spans="1:17" ht="25.5" x14ac:dyDescent="0.25">
      <c r="A7" s="113">
        <v>1</v>
      </c>
      <c r="B7" s="107" t="s">
        <v>218</v>
      </c>
      <c r="C7" s="123">
        <f>'Biểu 2'!E5</f>
        <v>11000</v>
      </c>
      <c r="D7" s="123">
        <f>'Biểu 2'!G5</f>
        <v>15000</v>
      </c>
      <c r="E7" s="79"/>
      <c r="F7" s="79"/>
      <c r="G7" s="79">
        <v>11000</v>
      </c>
      <c r="H7" s="79"/>
      <c r="I7" s="79"/>
      <c r="J7" s="79"/>
      <c r="K7" s="79"/>
      <c r="L7" s="79"/>
      <c r="M7" s="79"/>
      <c r="N7" s="79">
        <f>C7-E7-F7-G7-H7-I7-J7-K7-L7-M7</f>
        <v>0</v>
      </c>
      <c r="O7" s="62"/>
      <c r="P7" s="63"/>
      <c r="Q7" s="58"/>
    </row>
    <row r="8" spans="1:17" ht="38.25" x14ac:dyDescent="0.25">
      <c r="A8" s="114">
        <v>2</v>
      </c>
      <c r="B8" s="72" t="s">
        <v>191</v>
      </c>
      <c r="C8" s="124">
        <f>'Biểu 2'!E6</f>
        <v>4000</v>
      </c>
      <c r="D8" s="124">
        <f>'Biểu 2'!G6</f>
        <v>5000</v>
      </c>
      <c r="E8" s="69">
        <v>4000</v>
      </c>
      <c r="F8" s="69"/>
      <c r="G8" s="69"/>
      <c r="H8" s="69"/>
      <c r="I8" s="69"/>
      <c r="J8" s="69"/>
      <c r="K8" s="69"/>
      <c r="L8" s="69"/>
      <c r="M8" s="69"/>
      <c r="N8" s="69">
        <f t="shared" ref="N8:N26" si="1">C8-E8-F8-G8-H8-I8-J8-K8-L8-M8</f>
        <v>0</v>
      </c>
      <c r="O8" s="14"/>
      <c r="P8" s="23"/>
      <c r="Q8" s="24"/>
    </row>
    <row r="9" spans="1:17" ht="51" x14ac:dyDescent="0.25">
      <c r="A9" s="114">
        <v>3</v>
      </c>
      <c r="B9" s="72" t="s">
        <v>219</v>
      </c>
      <c r="C9" s="124">
        <f>'Biểu 2'!E7</f>
        <v>7000</v>
      </c>
      <c r="D9" s="124">
        <f>'Biểu 2'!G7</f>
        <v>10000</v>
      </c>
      <c r="E9" s="69"/>
      <c r="F9" s="69"/>
      <c r="G9" s="69">
        <v>6000</v>
      </c>
      <c r="H9" s="69"/>
      <c r="I9" s="69"/>
      <c r="J9" s="69"/>
      <c r="K9" s="69"/>
      <c r="L9" s="69"/>
      <c r="M9" s="69"/>
      <c r="N9" s="69">
        <f t="shared" si="1"/>
        <v>1000</v>
      </c>
      <c r="O9" s="14"/>
      <c r="P9" s="23"/>
      <c r="Q9" s="24"/>
    </row>
    <row r="10" spans="1:17" ht="51" x14ac:dyDescent="0.25">
      <c r="A10" s="114">
        <v>4</v>
      </c>
      <c r="B10" s="72" t="s">
        <v>220</v>
      </c>
      <c r="C10" s="124">
        <f>'Biểu 2'!E8</f>
        <v>16000</v>
      </c>
      <c r="D10" s="124">
        <f>'Biểu 2'!G8</f>
        <v>22000</v>
      </c>
      <c r="E10" s="69">
        <v>10000</v>
      </c>
      <c r="F10" s="69">
        <v>6000</v>
      </c>
      <c r="G10" s="69"/>
      <c r="H10" s="69"/>
      <c r="I10" s="69"/>
      <c r="J10" s="69"/>
      <c r="K10" s="69"/>
      <c r="L10" s="69"/>
      <c r="M10" s="69"/>
      <c r="N10" s="69">
        <f t="shared" si="1"/>
        <v>0</v>
      </c>
      <c r="O10" s="14"/>
      <c r="P10" s="23"/>
      <c r="Q10" s="24"/>
    </row>
    <row r="11" spans="1:17" ht="38.25" x14ac:dyDescent="0.25">
      <c r="A11" s="114">
        <v>5</v>
      </c>
      <c r="B11" s="72" t="s">
        <v>192</v>
      </c>
      <c r="C11" s="124">
        <f>'Biểu 2'!E9</f>
        <v>7000</v>
      </c>
      <c r="D11" s="124">
        <f>'Biểu 2'!G9</f>
        <v>10000</v>
      </c>
      <c r="E11" s="69"/>
      <c r="F11" s="69">
        <v>7000</v>
      </c>
      <c r="G11" s="69"/>
      <c r="H11" s="69"/>
      <c r="I11" s="69"/>
      <c r="J11" s="69"/>
      <c r="K11" s="69"/>
      <c r="L11" s="69"/>
      <c r="M11" s="69"/>
      <c r="N11" s="69">
        <f t="shared" si="1"/>
        <v>0</v>
      </c>
      <c r="O11" s="12"/>
      <c r="P11" s="23"/>
      <c r="Q11" s="24"/>
    </row>
    <row r="12" spans="1:17" ht="38.25" x14ac:dyDescent="0.25">
      <c r="A12" s="114">
        <v>6</v>
      </c>
      <c r="B12" s="72" t="s">
        <v>221</v>
      </c>
      <c r="C12" s="124">
        <f>'Biểu 2'!E10</f>
        <v>8000</v>
      </c>
      <c r="D12" s="124">
        <f>'Biểu 2'!G10</f>
        <v>11000</v>
      </c>
      <c r="E12" s="69"/>
      <c r="F12" s="69">
        <v>8000</v>
      </c>
      <c r="G12" s="69"/>
      <c r="H12" s="69"/>
      <c r="I12" s="69"/>
      <c r="J12" s="69"/>
      <c r="K12" s="69"/>
      <c r="L12" s="69"/>
      <c r="M12" s="69"/>
      <c r="N12" s="69">
        <f t="shared" si="1"/>
        <v>0</v>
      </c>
      <c r="O12" s="14"/>
      <c r="P12" s="23"/>
      <c r="Q12" s="24"/>
    </row>
    <row r="13" spans="1:17" ht="38.25" x14ac:dyDescent="0.25">
      <c r="A13" s="114">
        <v>7</v>
      </c>
      <c r="B13" s="72" t="s">
        <v>222</v>
      </c>
      <c r="C13" s="124">
        <f>'Biểu 2'!E11</f>
        <v>1000</v>
      </c>
      <c r="D13" s="124">
        <f>'Biểu 2'!G11</f>
        <v>1600</v>
      </c>
      <c r="E13" s="69"/>
      <c r="F13" s="69">
        <v>1000</v>
      </c>
      <c r="G13" s="69"/>
      <c r="H13" s="69"/>
      <c r="I13" s="69"/>
      <c r="J13" s="69"/>
      <c r="K13" s="69"/>
      <c r="L13" s="69"/>
      <c r="M13" s="69"/>
      <c r="N13" s="69">
        <f t="shared" si="1"/>
        <v>0</v>
      </c>
      <c r="O13" s="12"/>
      <c r="P13" s="23"/>
      <c r="Q13" s="24"/>
    </row>
    <row r="14" spans="1:17" ht="38.25" x14ac:dyDescent="0.25">
      <c r="A14" s="114">
        <v>8</v>
      </c>
      <c r="B14" s="72" t="s">
        <v>223</v>
      </c>
      <c r="C14" s="124">
        <f>'Biểu 2'!E12</f>
        <v>1000</v>
      </c>
      <c r="D14" s="124">
        <f>'Biểu 2'!G12</f>
        <v>1600</v>
      </c>
      <c r="E14" s="69"/>
      <c r="F14" s="69">
        <v>1000</v>
      </c>
      <c r="G14" s="69"/>
      <c r="H14" s="69"/>
      <c r="I14" s="69"/>
      <c r="J14" s="69"/>
      <c r="K14" s="69"/>
      <c r="L14" s="69"/>
      <c r="M14" s="69"/>
      <c r="N14" s="69">
        <f t="shared" si="1"/>
        <v>0</v>
      </c>
      <c r="O14" s="24"/>
      <c r="P14" s="24"/>
      <c r="Q14" s="24"/>
    </row>
    <row r="15" spans="1:17" ht="48" customHeight="1" x14ac:dyDescent="0.25">
      <c r="A15" s="114">
        <v>9</v>
      </c>
      <c r="B15" s="72" t="s">
        <v>224</v>
      </c>
      <c r="C15" s="124">
        <f>'Biểu 2'!E13</f>
        <v>3000</v>
      </c>
      <c r="D15" s="124">
        <f>'Biểu 2'!G13</f>
        <v>3600</v>
      </c>
      <c r="E15" s="69"/>
      <c r="F15" s="69">
        <v>3000</v>
      </c>
      <c r="G15" s="69"/>
      <c r="H15" s="69"/>
      <c r="I15" s="69"/>
      <c r="J15" s="69"/>
      <c r="K15" s="69"/>
      <c r="L15" s="69"/>
      <c r="M15" s="69"/>
      <c r="N15" s="69">
        <f t="shared" si="1"/>
        <v>0</v>
      </c>
      <c r="O15" s="64"/>
      <c r="P15" s="64"/>
      <c r="Q15" s="24"/>
    </row>
    <row r="16" spans="1:17" ht="38.25" x14ac:dyDescent="0.25">
      <c r="A16" s="114">
        <v>10</v>
      </c>
      <c r="B16" s="72" t="s">
        <v>225</v>
      </c>
      <c r="C16" s="124">
        <f>'Biểu 2'!E14</f>
        <v>13000</v>
      </c>
      <c r="D16" s="124">
        <f>'Biểu 2'!G14</f>
        <v>18000</v>
      </c>
      <c r="E16" s="69"/>
      <c r="F16" s="69"/>
      <c r="G16" s="69"/>
      <c r="H16" s="69"/>
      <c r="I16" s="69">
        <v>13000</v>
      </c>
      <c r="J16" s="69"/>
      <c r="K16" s="69"/>
      <c r="L16" s="69"/>
      <c r="M16" s="69"/>
      <c r="N16" s="69">
        <f t="shared" si="1"/>
        <v>0</v>
      </c>
      <c r="O16" s="3"/>
      <c r="P16" s="3"/>
      <c r="Q16" s="24"/>
    </row>
    <row r="17" spans="1:17" ht="51" x14ac:dyDescent="0.25">
      <c r="A17" s="114">
        <v>11</v>
      </c>
      <c r="B17" s="72" t="s">
        <v>226</v>
      </c>
      <c r="C17" s="124">
        <f>'Biểu 2'!E15</f>
        <v>17000</v>
      </c>
      <c r="D17" s="124">
        <f>'Biểu 2'!G15</f>
        <v>24000</v>
      </c>
      <c r="E17" s="69"/>
      <c r="F17" s="69"/>
      <c r="G17" s="69"/>
      <c r="H17" s="69">
        <v>10000</v>
      </c>
      <c r="I17" s="69"/>
      <c r="J17" s="69"/>
      <c r="K17" s="69"/>
      <c r="L17" s="69"/>
      <c r="M17" s="69"/>
      <c r="N17" s="69">
        <f t="shared" si="1"/>
        <v>7000</v>
      </c>
      <c r="Q17" s="24"/>
    </row>
    <row r="18" spans="1:17" ht="38.25" x14ac:dyDescent="0.25">
      <c r="A18" s="114">
        <v>12</v>
      </c>
      <c r="B18" s="72" t="s">
        <v>227</v>
      </c>
      <c r="C18" s="124">
        <f>'Biểu 2'!E16</f>
        <v>21000</v>
      </c>
      <c r="D18" s="124">
        <f>'Biểu 2'!G16</f>
        <v>29000</v>
      </c>
      <c r="E18" s="69"/>
      <c r="F18" s="69"/>
      <c r="G18" s="69">
        <v>11000</v>
      </c>
      <c r="H18" s="69">
        <v>5000</v>
      </c>
      <c r="I18" s="69"/>
      <c r="J18" s="69"/>
      <c r="K18" s="69"/>
      <c r="L18" s="69"/>
      <c r="M18" s="69"/>
      <c r="N18" s="69">
        <f t="shared" si="1"/>
        <v>5000</v>
      </c>
      <c r="Q18" s="24"/>
    </row>
    <row r="19" spans="1:17" ht="25.5" x14ac:dyDescent="0.25">
      <c r="A19" s="114">
        <v>13</v>
      </c>
      <c r="B19" s="72" t="s">
        <v>228</v>
      </c>
      <c r="C19" s="124">
        <f>'Biểu 2'!E17</f>
        <v>14000</v>
      </c>
      <c r="D19" s="124">
        <f>'Biểu 2'!G17</f>
        <v>19000</v>
      </c>
      <c r="E19" s="69"/>
      <c r="F19" s="69"/>
      <c r="G19" s="69"/>
      <c r="H19" s="69"/>
      <c r="I19" s="69">
        <v>10000</v>
      </c>
      <c r="J19" s="69"/>
      <c r="K19" s="69"/>
      <c r="L19" s="69"/>
      <c r="M19" s="69"/>
      <c r="N19" s="69">
        <f t="shared" si="1"/>
        <v>4000</v>
      </c>
      <c r="Q19" s="24"/>
    </row>
    <row r="20" spans="1:17" ht="38.25" x14ac:dyDescent="0.25">
      <c r="A20" s="114">
        <v>14</v>
      </c>
      <c r="B20" s="72" t="s">
        <v>229</v>
      </c>
      <c r="C20" s="124">
        <f>'Biểu 2'!E18</f>
        <v>28000</v>
      </c>
      <c r="D20" s="124">
        <f>'Biểu 2'!G18</f>
        <v>39000</v>
      </c>
      <c r="E20" s="69"/>
      <c r="F20" s="69"/>
      <c r="G20" s="69"/>
      <c r="H20" s="69"/>
      <c r="I20" s="69"/>
      <c r="J20" s="69">
        <v>28000</v>
      </c>
      <c r="K20" s="69"/>
      <c r="L20" s="69"/>
      <c r="M20" s="69"/>
      <c r="N20" s="69">
        <f t="shared" si="1"/>
        <v>0</v>
      </c>
    </row>
    <row r="21" spans="1:17" ht="38.25" x14ac:dyDescent="0.25">
      <c r="A21" s="114">
        <v>15</v>
      </c>
      <c r="B21" s="72" t="s">
        <v>193</v>
      </c>
      <c r="C21" s="124">
        <f>'Biểu 2'!E19</f>
        <v>2000</v>
      </c>
      <c r="D21" s="124">
        <f>'Biểu 2'!G19</f>
        <v>3000</v>
      </c>
      <c r="E21" s="69"/>
      <c r="F21" s="69">
        <v>2000</v>
      </c>
      <c r="G21" s="69"/>
      <c r="H21" s="69"/>
      <c r="I21" s="69"/>
      <c r="J21" s="69"/>
      <c r="K21" s="69"/>
      <c r="L21" s="69"/>
      <c r="M21" s="69"/>
      <c r="N21" s="69">
        <f t="shared" si="1"/>
        <v>0</v>
      </c>
    </row>
    <row r="22" spans="1:17" ht="60.75" customHeight="1" x14ac:dyDescent="0.25">
      <c r="A22" s="115">
        <v>16</v>
      </c>
      <c r="B22" s="116" t="s">
        <v>230</v>
      </c>
      <c r="C22" s="124">
        <f>'Biểu 2'!E20</f>
        <v>60000</v>
      </c>
      <c r="D22" s="124">
        <f>'Biểu 2'!G20</f>
        <v>84000</v>
      </c>
      <c r="E22" s="69"/>
      <c r="F22" s="69">
        <v>22000</v>
      </c>
      <c r="G22" s="69">
        <v>25050</v>
      </c>
      <c r="H22" s="69"/>
      <c r="I22" s="69"/>
      <c r="J22" s="69"/>
      <c r="K22" s="69"/>
      <c r="L22" s="69"/>
      <c r="M22" s="69"/>
      <c r="N22" s="69">
        <f t="shared" si="1"/>
        <v>12950</v>
      </c>
    </row>
    <row r="23" spans="1:17" ht="44.25" customHeight="1" x14ac:dyDescent="0.25">
      <c r="A23" s="108">
        <v>17</v>
      </c>
      <c r="B23" s="73" t="s">
        <v>234</v>
      </c>
      <c r="C23" s="124">
        <f>'Biểu 2'!E21</f>
        <v>36000</v>
      </c>
      <c r="D23" s="124">
        <f>'Biểu 2'!G21</f>
        <v>50000</v>
      </c>
      <c r="E23" s="69"/>
      <c r="F23" s="69"/>
      <c r="G23" s="69"/>
      <c r="H23" s="69"/>
      <c r="I23" s="69"/>
      <c r="J23" s="69"/>
      <c r="K23" s="69">
        <v>36000</v>
      </c>
      <c r="L23" s="69"/>
      <c r="M23" s="69"/>
      <c r="N23" s="69">
        <f t="shared" si="1"/>
        <v>0</v>
      </c>
    </row>
    <row r="24" spans="1:17" ht="38.25" x14ac:dyDescent="0.25">
      <c r="A24" s="108">
        <v>18</v>
      </c>
      <c r="B24" s="73" t="s">
        <v>231</v>
      </c>
      <c r="C24" s="124">
        <f>'Biểu 2'!E22</f>
        <v>7000</v>
      </c>
      <c r="D24" s="124">
        <f>'Biểu 2'!G22</f>
        <v>10000</v>
      </c>
      <c r="E24" s="69"/>
      <c r="F24" s="69"/>
      <c r="G24" s="69"/>
      <c r="H24" s="69"/>
      <c r="I24" s="69"/>
      <c r="J24" s="69"/>
      <c r="K24" s="69"/>
      <c r="L24" s="69"/>
      <c r="M24" s="69"/>
      <c r="N24" s="69">
        <f t="shared" si="1"/>
        <v>7000</v>
      </c>
    </row>
    <row r="25" spans="1:17" ht="72" customHeight="1" x14ac:dyDescent="0.25">
      <c r="A25" s="109">
        <v>19</v>
      </c>
      <c r="B25" s="73" t="s">
        <v>233</v>
      </c>
      <c r="C25" s="124">
        <f>'Biểu 2'!E23</f>
        <v>29000</v>
      </c>
      <c r="D25" s="124">
        <f>'Biểu 2'!G23</f>
        <v>41000</v>
      </c>
      <c r="E25" s="69"/>
      <c r="F25" s="69"/>
      <c r="G25" s="69"/>
      <c r="H25" s="69"/>
      <c r="I25" s="69"/>
      <c r="J25" s="69"/>
      <c r="K25" s="69"/>
      <c r="L25" s="69">
        <v>29000</v>
      </c>
      <c r="M25" s="69"/>
      <c r="N25" s="69">
        <f t="shared" si="1"/>
        <v>0</v>
      </c>
    </row>
    <row r="26" spans="1:17" ht="25.5" customHeight="1" x14ac:dyDescent="0.25">
      <c r="A26" s="110">
        <v>20</v>
      </c>
      <c r="B26" s="111" t="s">
        <v>232</v>
      </c>
      <c r="C26" s="125">
        <f>'Biểu 2'!E24</f>
        <v>15000</v>
      </c>
      <c r="D26" s="125">
        <f>'Biểu 2'!G24</f>
        <v>21000</v>
      </c>
      <c r="E26" s="112"/>
      <c r="F26" s="112"/>
      <c r="G26" s="112"/>
      <c r="H26" s="112"/>
      <c r="I26" s="112"/>
      <c r="J26" s="112"/>
      <c r="K26" s="112"/>
      <c r="L26" s="112"/>
      <c r="M26" s="112">
        <v>15000</v>
      </c>
      <c r="N26" s="112">
        <f t="shared" si="1"/>
        <v>0</v>
      </c>
    </row>
    <row r="27" spans="1:17" ht="17.25" customHeight="1" x14ac:dyDescent="0.25">
      <c r="A27" s="3"/>
      <c r="B27" s="65" t="s">
        <v>184</v>
      </c>
      <c r="C27" s="126">
        <f>SUM(C7:C26)</f>
        <v>300000</v>
      </c>
      <c r="D27" s="126">
        <f>ROUND((SUM(D7:D26)),-3)</f>
        <v>418000</v>
      </c>
      <c r="E27" s="78">
        <f>SUM(E7:E26)</f>
        <v>14000</v>
      </c>
      <c r="F27" s="78">
        <f>SUM(F7:F26)</f>
        <v>50000</v>
      </c>
      <c r="G27" s="78">
        <f t="shared" ref="G27:M27" si="2">SUM(G7:G26)</f>
        <v>53050</v>
      </c>
      <c r="H27" s="78">
        <f t="shared" si="2"/>
        <v>15000</v>
      </c>
      <c r="I27" s="78">
        <f t="shared" si="2"/>
        <v>23000</v>
      </c>
      <c r="J27" s="78">
        <f t="shared" si="2"/>
        <v>28000</v>
      </c>
      <c r="K27" s="78">
        <f t="shared" si="2"/>
        <v>36000</v>
      </c>
      <c r="L27" s="78">
        <f t="shared" si="2"/>
        <v>29000</v>
      </c>
      <c r="M27" s="78">
        <f t="shared" si="2"/>
        <v>15000</v>
      </c>
      <c r="N27" s="78">
        <f>ROUND((SUM(N7:N26)),-3)</f>
        <v>37000</v>
      </c>
    </row>
    <row r="28" spans="1:17" x14ac:dyDescent="0.25">
      <c r="B28" s="106" t="s">
        <v>18</v>
      </c>
      <c r="E28" s="4"/>
    </row>
    <row r="29" spans="1:17" x14ac:dyDescent="0.25">
      <c r="B29" s="2" t="s">
        <v>258</v>
      </c>
      <c r="C29" s="2"/>
      <c r="D29" s="2"/>
      <c r="E29" s="105"/>
      <c r="F29" s="2"/>
      <c r="G29" s="2"/>
    </row>
    <row r="30" spans="1:17" s="1" customFormat="1" x14ac:dyDescent="0.25">
      <c r="A30" s="2"/>
      <c r="B30" s="2" t="s">
        <v>259</v>
      </c>
      <c r="C30" s="2"/>
      <c r="D30" s="2"/>
      <c r="E30" s="105"/>
      <c r="F30" s="2"/>
      <c r="G30" s="2"/>
    </row>
    <row r="31" spans="1:17" s="1" customFormat="1" x14ac:dyDescent="0.25">
      <c r="B31" s="2" t="s">
        <v>216</v>
      </c>
      <c r="C31" s="2"/>
      <c r="D31" s="2"/>
      <c r="E31" s="105"/>
      <c r="F31" s="2"/>
      <c r="G31" s="2"/>
    </row>
    <row r="32" spans="1:17" x14ac:dyDescent="0.25">
      <c r="C32" s="2"/>
      <c r="D32" s="2"/>
      <c r="E32" s="2"/>
      <c r="F32" s="2"/>
      <c r="G32" s="105"/>
    </row>
    <row r="33" spans="7:7" x14ac:dyDescent="0.25">
      <c r="G33" s="4"/>
    </row>
  </sheetData>
  <mergeCells count="1">
    <mergeCell ref="A1:M1"/>
  </mergeCells>
  <pageMargins left="0.45" right="0" top="0.25" bottom="0.25" header="0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Biểu 1</vt:lpstr>
      <vt:lpstr>Biểu 2</vt:lpstr>
      <vt:lpstr>Biểu3</vt:lpstr>
      <vt:lpstr>'Biểu 1'!Print_Area</vt:lpstr>
      <vt:lpstr>'Biểu 2'!Print_Area</vt:lpstr>
      <vt:lpstr>Biểu3!Print_Area</vt:lpstr>
      <vt:lpstr>'Biểu 1'!Print_Titles</vt:lpstr>
      <vt:lpstr>'Biểu 2'!Print_Titles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2021-06-11T08:50:56Z</cp:lastPrinted>
  <dcterms:created xsi:type="dcterms:W3CDTF">2020-08-04T08:26:22Z</dcterms:created>
  <dcterms:modified xsi:type="dcterms:W3CDTF">2021-06-16T01:31:55Z</dcterms:modified>
</cp:coreProperties>
</file>