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ONGNB\1. LONG - DT\4. Chinh sach\NQ hỗ trợ DNNVV\De an ho tro DN cua UBND tinh\Dư thảo Đề án\Dư thảo Đề án\"/>
    </mc:Choice>
  </mc:AlternateContent>
  <bookViews>
    <workbookView xWindow="0" yWindow="0" windowWidth="2370" windowHeight="0"/>
  </bookViews>
  <sheets>
    <sheet name="PLuc" sheetId="3" r:id="rId1"/>
  </sheets>
  <definedNames>
    <definedName name="_xlnm.Print_Titles" localSheetId="0">PLuc!$6:$8</definedName>
  </definedNames>
  <calcPr calcId="152511"/>
</workbook>
</file>

<file path=xl/calcChain.xml><?xml version="1.0" encoding="utf-8"?>
<calcChain xmlns="http://schemas.openxmlformats.org/spreadsheetml/2006/main">
  <c r="E12" i="3" l="1"/>
  <c r="C13" i="3"/>
  <c r="K35" i="3" l="1"/>
  <c r="C52" i="3"/>
  <c r="D52" i="3" s="1"/>
  <c r="E52" i="3" s="1"/>
  <c r="F52" i="3" s="1"/>
  <c r="G52" i="3" s="1"/>
  <c r="H52" i="3" s="1"/>
  <c r="C50" i="3"/>
  <c r="C51" i="3" s="1"/>
  <c r="C48" i="3"/>
  <c r="D48" i="3" s="1"/>
  <c r="E48" i="3" s="1"/>
  <c r="F48" i="3" s="1"/>
  <c r="G48" i="3" s="1"/>
  <c r="H48" i="3" s="1"/>
  <c r="C47" i="3"/>
  <c r="D47" i="3" s="1"/>
  <c r="H45" i="3"/>
  <c r="G45" i="3"/>
  <c r="F45" i="3"/>
  <c r="E45" i="3"/>
  <c r="D45" i="3"/>
  <c r="C45" i="3"/>
  <c r="H44" i="3"/>
  <c r="G44" i="3"/>
  <c r="F44" i="3"/>
  <c r="E44" i="3"/>
  <c r="D44" i="3"/>
  <c r="C44" i="3"/>
  <c r="H42" i="3"/>
  <c r="H41" i="3" s="1"/>
  <c r="G42" i="3"/>
  <c r="G41" i="3" s="1"/>
  <c r="F42" i="3"/>
  <c r="E42" i="3"/>
  <c r="E41" i="3" s="1"/>
  <c r="D42" i="3"/>
  <c r="D41" i="3" s="1"/>
  <c r="C42" i="3"/>
  <c r="C41" i="3" s="1"/>
  <c r="F41" i="3"/>
  <c r="H39" i="3"/>
  <c r="G39" i="3"/>
  <c r="F39" i="3"/>
  <c r="E39" i="3"/>
  <c r="H38" i="3"/>
  <c r="G38" i="3"/>
  <c r="F38" i="3"/>
  <c r="E38" i="3"/>
  <c r="D38" i="3"/>
  <c r="D37" i="3" s="1"/>
  <c r="G37" i="3"/>
  <c r="C36" i="3"/>
  <c r="D36" i="3" s="1"/>
  <c r="E36" i="3" s="1"/>
  <c r="F36" i="3" s="1"/>
  <c r="H35" i="3"/>
  <c r="G35" i="3"/>
  <c r="F35" i="3"/>
  <c r="E35" i="3"/>
  <c r="E34" i="3" s="1"/>
  <c r="D35" i="3"/>
  <c r="C35" i="3"/>
  <c r="H33" i="3"/>
  <c r="H32" i="3" s="1"/>
  <c r="G33" i="3"/>
  <c r="G32" i="3" s="1"/>
  <c r="F33" i="3"/>
  <c r="F32" i="3" s="1"/>
  <c r="E33" i="3"/>
  <c r="E32" i="3" s="1"/>
  <c r="D33" i="3"/>
  <c r="D32" i="3" s="1"/>
  <c r="C33" i="3"/>
  <c r="C32" i="3" s="1"/>
  <c r="H31" i="3"/>
  <c r="G31" i="3"/>
  <c r="F31" i="3"/>
  <c r="E31" i="3"/>
  <c r="D31" i="3"/>
  <c r="C31" i="3"/>
  <c r="H30" i="3"/>
  <c r="G30" i="3"/>
  <c r="F30" i="3"/>
  <c r="E30" i="3"/>
  <c r="D30" i="3"/>
  <c r="C30" i="3"/>
  <c r="H29" i="3"/>
  <c r="G29" i="3"/>
  <c r="F29" i="3"/>
  <c r="E29" i="3"/>
  <c r="D29" i="3"/>
  <c r="C29" i="3"/>
  <c r="H28" i="3"/>
  <c r="G28" i="3"/>
  <c r="F28" i="3"/>
  <c r="E28" i="3"/>
  <c r="D28" i="3"/>
  <c r="C28" i="3"/>
  <c r="H27" i="3"/>
  <c r="G27" i="3"/>
  <c r="F27" i="3"/>
  <c r="E27" i="3"/>
  <c r="D27" i="3"/>
  <c r="C27" i="3"/>
  <c r="H24" i="3"/>
  <c r="G24" i="3"/>
  <c r="F24" i="3"/>
  <c r="E24" i="3"/>
  <c r="D24" i="3"/>
  <c r="C39" i="3" l="1"/>
  <c r="C26" i="3"/>
  <c r="E43" i="3"/>
  <c r="H37" i="3"/>
  <c r="F43" i="3"/>
  <c r="G26" i="3"/>
  <c r="E26" i="3"/>
  <c r="F37" i="3"/>
  <c r="E37" i="3"/>
  <c r="D26" i="3"/>
  <c r="H26" i="3"/>
  <c r="F26" i="3"/>
  <c r="C34" i="3"/>
  <c r="C24" i="3"/>
  <c r="C43" i="3"/>
  <c r="G43" i="3"/>
  <c r="C46" i="3"/>
  <c r="D43" i="3"/>
  <c r="H43" i="3"/>
  <c r="D34" i="3"/>
  <c r="G36" i="3"/>
  <c r="F34" i="3"/>
  <c r="E47" i="3"/>
  <c r="D46" i="3"/>
  <c r="C38" i="3"/>
  <c r="C37" i="3" s="1"/>
  <c r="D50" i="3"/>
  <c r="C49" i="3"/>
  <c r="C25" i="3" l="1"/>
  <c r="F25" i="3"/>
  <c r="D25" i="3"/>
  <c r="E25" i="3"/>
  <c r="C40" i="3"/>
  <c r="E46" i="3"/>
  <c r="F47" i="3"/>
  <c r="D51" i="3"/>
  <c r="D49" i="3" s="1"/>
  <c r="D40" i="3" s="1"/>
  <c r="E50" i="3"/>
  <c r="H36" i="3"/>
  <c r="H34" i="3" s="1"/>
  <c r="H25" i="3" s="1"/>
  <c r="G34" i="3"/>
  <c r="G25" i="3" s="1"/>
  <c r="F46" i="3" l="1"/>
  <c r="G47" i="3"/>
  <c r="F50" i="3"/>
  <c r="E51" i="3"/>
  <c r="E49" i="3" s="1"/>
  <c r="E40" i="3" s="1"/>
  <c r="F51" i="3" l="1"/>
  <c r="F49" i="3" s="1"/>
  <c r="F40" i="3" s="1"/>
  <c r="G50" i="3"/>
  <c r="H47" i="3"/>
  <c r="H46" i="3" s="1"/>
  <c r="G46" i="3"/>
  <c r="G51" i="3" l="1"/>
  <c r="G49" i="3" s="1"/>
  <c r="G40" i="3" s="1"/>
  <c r="H50" i="3"/>
  <c r="H51" i="3" l="1"/>
  <c r="H49" i="3" s="1"/>
  <c r="H40" i="3" s="1"/>
  <c r="C12" i="3" l="1"/>
  <c r="H22" i="3" l="1"/>
  <c r="G22" i="3"/>
  <c r="F22" i="3"/>
  <c r="E22" i="3"/>
  <c r="H21" i="3"/>
  <c r="G21" i="3"/>
  <c r="F21" i="3"/>
  <c r="E21" i="3"/>
  <c r="D23" i="3"/>
  <c r="D22" i="3"/>
  <c r="D21" i="3"/>
  <c r="D20" i="3"/>
  <c r="E20" i="3"/>
  <c r="H20" i="3"/>
  <c r="G20" i="3"/>
  <c r="D19" i="3" l="1"/>
  <c r="C22" i="3"/>
  <c r="E23" i="3"/>
  <c r="E19" i="3" s="1"/>
  <c r="F23" i="3"/>
  <c r="G23" i="3"/>
  <c r="G19" i="3" s="1"/>
  <c r="H23" i="3"/>
  <c r="H19" i="3" s="1"/>
  <c r="F20" i="3"/>
  <c r="H18" i="3"/>
  <c r="G18" i="3"/>
  <c r="F18" i="3"/>
  <c r="E18" i="3"/>
  <c r="D18" i="3"/>
  <c r="H17" i="3"/>
  <c r="G17" i="3"/>
  <c r="F17" i="3"/>
  <c r="E17" i="3"/>
  <c r="D17" i="3"/>
  <c r="H16" i="3"/>
  <c r="G16" i="3"/>
  <c r="F16" i="3"/>
  <c r="E16" i="3"/>
  <c r="D16" i="3"/>
  <c r="D14" i="3"/>
  <c r="H14" i="3"/>
  <c r="G14" i="3"/>
  <c r="F14" i="3"/>
  <c r="E14" i="3"/>
  <c r="E11" i="3"/>
  <c r="C11" i="3"/>
  <c r="G11" i="3"/>
  <c r="F11" i="3"/>
  <c r="D11" i="3"/>
  <c r="F19" i="3" l="1"/>
  <c r="F15" i="3"/>
  <c r="D15" i="3"/>
  <c r="D10" i="3" s="1"/>
  <c r="D9" i="3" s="1"/>
  <c r="H15" i="3"/>
  <c r="E15" i="3"/>
  <c r="E10" i="3" s="1"/>
  <c r="E9" i="3" s="1"/>
  <c r="G15" i="3"/>
  <c r="G10" i="3" s="1"/>
  <c r="G9" i="3" s="1"/>
  <c r="C18" i="3"/>
  <c r="C14" i="3"/>
  <c r="C17" i="3"/>
  <c r="C20" i="3"/>
  <c r="C23" i="3"/>
  <c r="C21" i="3"/>
  <c r="C16" i="3"/>
  <c r="H11" i="3"/>
  <c r="H10" i="3" l="1"/>
  <c r="H9" i="3" s="1"/>
  <c r="C19" i="3"/>
  <c r="F10" i="3"/>
  <c r="F9" i="3" s="1"/>
  <c r="C15" i="3"/>
  <c r="C10" i="3" l="1"/>
  <c r="C9" i="3" s="1"/>
</calcChain>
</file>

<file path=xl/sharedStrings.xml><?xml version="1.0" encoding="utf-8"?>
<sst xmlns="http://schemas.openxmlformats.org/spreadsheetml/2006/main" count="100" uniqueCount="70">
  <si>
    <t>Nội dung hỗ trợ</t>
  </si>
  <si>
    <t>Cơ quan thực hiện</t>
  </si>
  <si>
    <t>Sở Kế hoạch và Đầu tư</t>
  </si>
  <si>
    <t>Sở Khoa học và Công nghệ</t>
  </si>
  <si>
    <t>STT</t>
  </si>
  <si>
    <t>a)</t>
  </si>
  <si>
    <t>b)</t>
  </si>
  <si>
    <t>c)</t>
  </si>
  <si>
    <t>d)</t>
  </si>
  <si>
    <t>Hỗ trợ 100% giá trị hợp đồng tư vấn để doanh nghiệp xây dựng tiêu chuẩn cơ sở. Kinh phí hỗ trợ tối đa 10 triệu đồng/1 hợp đồng/DN. Mỗi DN được hỗ trợ không quá 01 lần/năm</t>
  </si>
  <si>
    <t>Hỗ trợ về ứng dụng, chuyển giao công nghệ</t>
  </si>
  <si>
    <t>Hỗ trợ về đào tạo, thông tin, xúc tiến thương mại, thương mại hóa</t>
  </si>
  <si>
    <t>Hỗ trợ 50% chi phí đào tạo chuyên sâu về các nội dung sau: xây dựng, phát triển sản phẩm; thương mại hóa sản phẩm; gọi vốn đầu tư; phát triển thị trường; kết nối mạng lưới khởi nghiệp với các tổ chức, cá nhân nghiên cứu khoa học. Chi phí hỗ trợ không quá 10 triệu đồng trên một khóa đào tạo và không quá 01 khóa đào tạo trên năm</t>
  </si>
  <si>
    <t>Hỗ trợ sử dụng cơ sở kỹ thuật, cơ sở ươm tạo, khu làm việc chung</t>
  </si>
  <si>
    <t>Tổng cộng</t>
  </si>
  <si>
    <t xml:space="preserve">Hỗ trợ 100% giá trị hợp đồng tư vấn để doanh nghiệp khởi nghiệp sáng tạo tự tổ chức đo lường. Kinh phí hỗ trợ tối đa 10 triệu đồng/1 hợp đồng/DN. </t>
  </si>
  <si>
    <t>Trả kết quả giải quyết thủ tục hành chính về đăng ký thành lập mới doanh nghiệp qua dịch vụ bưu chính</t>
  </si>
  <si>
    <t>Giai đoạn 2021-2025</t>
  </si>
  <si>
    <t>Tổng cộng (tr.đ)</t>
  </si>
  <si>
    <t xml:space="preserve">Hỗ trợ mặt bằng sản xuất </t>
  </si>
  <si>
    <t>Chia ra</t>
  </si>
  <si>
    <t>Năm 2021</t>
  </si>
  <si>
    <t>Năm 2022</t>
  </si>
  <si>
    <t>Năm 2023</t>
  </si>
  <si>
    <t>Năm 2024</t>
  </si>
  <si>
    <t>Năm 2025</t>
  </si>
  <si>
    <t>Hỗ trợ sử dụng dịch vụ tư vấn</t>
  </si>
  <si>
    <t xml:space="preserve">Doanh nghiệp siêu nhỏ </t>
  </si>
  <si>
    <t>Doanh nghiệp nhỏ</t>
  </si>
  <si>
    <t>Doanh nghiệp vừa</t>
  </si>
  <si>
    <t>Hỗ trợ đào tạo nguồn nhân lực</t>
  </si>
  <si>
    <t>Khởi sự kinh doanh</t>
  </si>
  <si>
    <t>Quản trị kinh doanh</t>
  </si>
  <si>
    <t>Quản trị chuyên sâu</t>
  </si>
  <si>
    <t>Đào tạo trực tiếp tại DN sản xuất chế biến</t>
  </si>
  <si>
    <t>NHÓM HỖ TRỢ CHUNG</t>
  </si>
  <si>
    <t>I</t>
  </si>
  <si>
    <t>II</t>
  </si>
  <si>
    <t>III</t>
  </si>
  <si>
    <t>HỖ TRỢ DNNVV KHỞI NGHIỆP SÁNG TẠO</t>
  </si>
  <si>
    <t>Hỗ trợ 50% chi phí hợp đồng ứng dụng công nghệ cao, hợp đồng chuyển giao công nghệ nhưng không quá 100 triệu đồng trên một hợp đồng và không quá một hợp đồng mỗi năm</t>
  </si>
  <si>
    <t>Hỗ trợ 100% chi phí sử dụng trang thiết bị tại các cơ sở kỹ thuật</t>
  </si>
  <si>
    <t>Hỗ trợ 50% nhưng không vượt quá 5 triệu đồng/tháng/doanh nghiệp nhỏ và vừa khởi nghiệp sáng tạo phí tham gia các cơ sở ươm tạo, khu làm việc chung dành cho doanh nghiệp khởi nghiệp sáng tạo</t>
  </si>
  <si>
    <t>Hỗ trợ chi phí đối với các khóa đào tạo nâng cao trình độ công nghệ, kỹ thuật sản xuất chuyên biệt tại hiện trường</t>
  </si>
  <si>
    <t>Hỗ trợ 50% chi phí đối với các khóa đào tạo nâng cao trình độ công nghệ, kỹ thuật sản xuất chuyên biệt tại hiện trường nhưng không quá 30 triệu đồng trên 01 khóa đào tạo cho một doanh nghiệp và không quá 01 khóa đào tạo trên năm</t>
  </si>
  <si>
    <t>Hỗ trợ liên kết sản xuất, kinh doanh</t>
  </si>
  <si>
    <t>Hỗ trợ 100% giá trị hợp đồng tư vấn về thúc đẩy liên kết trong cụm liên kết ngành, chuỗi giá trị. Mức tối đa không quá 50 triệu đồng/hợp đồng</t>
  </si>
  <si>
    <t>Hỗ trợ 100% giá trị hợp đồng tư vấn về xây dựng các dự án liên kết kinh doanh nhằm thúc đẩy phát triển thị trường, nâng cao giá trị của sản phẩm, hàng hóa. Mức tối đa không quá 100 triệu đồng/hợp đồng</t>
  </si>
  <si>
    <t>Hỗ trợ phát triển thương hiệu, mở rộng thị trường</t>
  </si>
  <si>
    <t>Hỗ trợ 100% giá trị hợp đồng tư vấn để doanh nghiệp tự tổ chức đo lường. Mức tối đa không quá 10 triệu đồng/hợp đồng</t>
  </si>
  <si>
    <t>Hỗ trợ 100% chi phí thử nghiệm, giám định, kiểm định, chứng nhận chất lượng sản phẩm, hàng hóa. Mức tối đa không quá 20 triệu đồng/DN và không quá 02 lần/năm</t>
  </si>
  <si>
    <t>PHỤ LỤC:</t>
  </si>
  <si>
    <t>BẢNG TỔNG HỢP DỰ TOÁN KINH PHÍ VÀ PHÂN CÔNG NHIỆM VỤ THỰC HIỆN ĐỀ ÁN</t>
  </si>
  <si>
    <t>Hỗ trợ tiếp cận tín dụng, bảo lãnh tín dụng</t>
  </si>
  <si>
    <t xml:space="preserve">Thành lập Quỹ bảo lãnh tín dụng DNNVV tỉnh </t>
  </si>
  <si>
    <t>Sở Tài Chính</t>
  </si>
  <si>
    <t>Hỗ trợ tư vấn về sở hữu trí tuệ, khai thác và phát triển tài sản trí tuệ; thực hiện các thủ tục về tiêu chuẩn, quy chuẩn kỹ thuật, đo lường, chất lượng; thử nghiệm, hoàn thiện sản phẩm mới, mô hình kinh doanh mới</t>
  </si>
  <si>
    <t>đ)</t>
  </si>
  <si>
    <t>Tư vấn về tiêu chuẩn, quy chuẩn kỹ thuật, đo lường, chất lượng; hỗ trợ thực hiện các thủ tục về sản xuất thử nghiệm, kiểm định, giám định, chứng nhận chất lượng</t>
  </si>
  <si>
    <t>(Kèm theo Đề án Hỗ trợ DNNVV trên địa bàn tỉnh Bắc Giang giai đoạn 2021 - 2025)</t>
  </si>
  <si>
    <t>Sở Lao động TB &amp;XH</t>
  </si>
  <si>
    <t>Hỗ trợ 100% giá trị hợp đồng tư vấn về thiết kế, đăng ký bảo hộ, khai thác và phát triển giá trị nhãn hiệu. Kinh phí hỗ trợ tối đa 20 triệu đồng /01 nhãn hiệu, mỗi DN được hỗ trợ tối đa 02 nhãn hiệu/năm</t>
  </si>
  <si>
    <t>Hỗ trợ 100% giá trị hợp đồng tư vấn về kiểu dáng công nghiệp, sáng chế, giải pháp hữu ích. Kinh phí hỗ trợ tối đa 40 triệu đồng/01hợp đồng/DN.</t>
  </si>
  <si>
    <t>Hỗ trợ 100% giá trị hợp đồng tư vấn về xây dựng và phát triển tài sản trí tuệ đối với chỉ dẫn địa lý. Kinh phí hỗ trợ tối đa 50 triệu đồng/01 hợp đồng/DN. Mỗi DN được hỗ trợ không quá 01 lần/năm</t>
  </si>
  <si>
    <t>Hỗ trợ 100% chi phí gian hàng tại Hội trợ triển lãm xúc tiến thương mại trong nước nhưng mức tối đa không quá 20 triệu đồng/DN và mỗi DN được hỗ trợ tối đa 2 lần/năm. Hỗ trợ 100% chi phí gian hàng tại Hội trợ triển lãm xúc tiến thương mại quốc tế nhưng mức tối đa không quá 200 triệu đồng/DN và mỗi DN được hỗ trợ tối đa 2 lần/năm</t>
  </si>
  <si>
    <t>HỖ TRỢ DNNVV THAM GIA CỤM LIÊN KẾT NGÀNH, CHUỖI GIÁ TRỊ</t>
  </si>
  <si>
    <t>Sở Công Thương</t>
  </si>
  <si>
    <t>Hỗ trợ đào tạo nghề cho lao động làm việc tại DNNNVV</t>
  </si>
  <si>
    <t>Sở Kế hoạch và Đầu tư, Hiệp hội DN tỉnh</t>
  </si>
  <si>
    <t>Hỗ trợ 100% giá trị hợp đồng tư vấn về nhãn hiệu, tên thương mại, chỉ dẫn địa lý, bí mật kinh doanh. Mức tối đa không quá 07 triệu đồng/doanh nghiệp và không quá 01 lần/năm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</si>
</sst>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_(* \(#,##0.00\);_(* &quot;-&quot;??_);_(@_)"/>
    <numFmt numFmtId="165" formatCode="_(* #,##0.0_);_(* \(#,##0.0\);_(* &quot;-&quot;??_);_(@_)"/>
    <numFmt numFmtId="166" formatCode="_(* #,##0_);_(* \(#,##0\);_(* &quot;-&quot;??_);_(@_)"/>
    <numFmt numFmtId="167" formatCode="_-* #,##0.0\ _₫_-;\-* #,##0.0\ _₫_-;_-* &quot;-&quot;?\ _₫_-;_-@_-"/>
    <numFmt numFmtId="168" formatCode="_(* #,##0.0_);_(* \(#,##0.0\);_(* &quot;-&quot;?_);_(@_)"/>
  </numFmts>
  <fonts count="15" x14ac:knownFonts="1">
    <font>
      <sz val="11"/>
      <color theme="1"/>
      <name val="Arial"/>
      <family val="2"/>
      <scheme val="minor"/>
    </font>
    <font>
      <sz val="11"/>
      <color theme="1"/>
      <name val="Arial"/>
      <family val="2"/>
      <scheme val="minor"/>
    </font>
    <font>
      <b/>
      <sz val="11"/>
      <color theme="1"/>
      <name val="Times New Roman"/>
      <family val="1"/>
    </font>
    <font>
      <b/>
      <sz val="14"/>
      <color theme="1"/>
      <name val="Times New Roman"/>
      <family val="1"/>
    </font>
    <font>
      <sz val="14"/>
      <color theme="1"/>
      <name val="Times New Roman"/>
      <family val="1"/>
      <charset val="163"/>
    </font>
    <font>
      <i/>
      <sz val="13"/>
      <color rgb="FF000000"/>
      <name val="Times New Roman"/>
      <family val="1"/>
    </font>
    <font>
      <i/>
      <sz val="11"/>
      <color theme="1"/>
      <name val="Arial"/>
      <family val="2"/>
      <scheme val="minor"/>
    </font>
    <font>
      <b/>
      <sz val="11"/>
      <color theme="1"/>
      <name val="Arial"/>
      <family val="2"/>
      <scheme val="minor"/>
    </font>
    <font>
      <sz val="12"/>
      <color theme="1"/>
      <name val="Times New Roman"/>
      <family val="1"/>
      <charset val="163"/>
    </font>
    <font>
      <b/>
      <sz val="12"/>
      <color theme="1"/>
      <name val="Times New Roman"/>
      <family val="1"/>
      <charset val="163"/>
    </font>
    <font>
      <b/>
      <sz val="12"/>
      <color rgb="FF000000"/>
      <name val="Times New Roman"/>
      <family val="1"/>
      <charset val="163"/>
    </font>
    <font>
      <b/>
      <u/>
      <sz val="12"/>
      <color theme="1"/>
      <name val="Times New Roman"/>
      <family val="1"/>
      <charset val="163"/>
    </font>
    <font>
      <u/>
      <sz val="12"/>
      <color theme="1"/>
      <name val="Times New Roman"/>
      <family val="1"/>
      <charset val="163"/>
    </font>
    <font>
      <sz val="12"/>
      <color rgb="FF0000CC"/>
      <name val="Times New Roman"/>
      <family val="1"/>
      <charset val="163"/>
    </font>
    <font>
      <b/>
      <sz val="14"/>
      <color theme="1"/>
      <name val="Times New Roman"/>
      <family val="1"/>
      <charset val="163"/>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44">
    <xf numFmtId="0" fontId="0" fillId="0" borderId="0" xfId="0"/>
    <xf numFmtId="0" fontId="2" fillId="0" borderId="0" xfId="0" applyFont="1" applyAlignment="1">
      <alignment horizontal="center" vertical="center" wrapText="1"/>
    </xf>
    <xf numFmtId="0" fontId="4" fillId="0" borderId="0" xfId="0" applyFont="1" applyAlignment="1">
      <alignment horizontal="left" vertical="center"/>
    </xf>
    <xf numFmtId="0" fontId="6" fillId="0" borderId="0" xfId="0" applyFont="1"/>
    <xf numFmtId="0" fontId="7" fillId="0" borderId="0" xfId="0" applyFont="1"/>
    <xf numFmtId="0" fontId="8" fillId="0" borderId="1" xfId="0" applyFont="1" applyBorder="1" applyAlignment="1">
      <alignment horizontal="justify" vertical="center" wrapText="1"/>
    </xf>
    <xf numFmtId="167" fontId="6" fillId="0" borderId="0" xfId="0" applyNumberFormat="1" applyFont="1"/>
    <xf numFmtId="164" fontId="8" fillId="0" borderId="1" xfId="1" applyFont="1" applyBorder="1" applyAlignment="1">
      <alignment horizontal="center" vertical="center" wrapText="1"/>
    </xf>
    <xf numFmtId="164" fontId="0" fillId="0" borderId="0" xfId="0" applyNumberFormat="1"/>
    <xf numFmtId="43" fontId="0" fillId="0" borderId="0" xfId="0" applyNumberFormat="1"/>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11" fillId="0" borderId="1" xfId="0" applyNumberFormat="1" applyFont="1" applyBorder="1"/>
    <xf numFmtId="164" fontId="12" fillId="0" borderId="1" xfId="0" applyNumberFormat="1" applyFont="1" applyBorder="1"/>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165" fontId="9" fillId="0" borderId="1" xfId="0" applyNumberFormat="1" applyFont="1" applyBorder="1"/>
    <xf numFmtId="0" fontId="8" fillId="0" borderId="1" xfId="0" applyFont="1" applyBorder="1"/>
    <xf numFmtId="165" fontId="9" fillId="0" borderId="1" xfId="1" applyNumberFormat="1" applyFont="1" applyBorder="1" applyAlignment="1">
      <alignment vertical="center"/>
    </xf>
    <xf numFmtId="166" fontId="9" fillId="0" borderId="1" xfId="1" applyNumberFormat="1" applyFont="1" applyBorder="1" applyAlignment="1">
      <alignment vertical="center"/>
    </xf>
    <xf numFmtId="0" fontId="8" fillId="0" borderId="1" xfId="0" applyFont="1" applyBorder="1" applyAlignment="1">
      <alignment horizontal="center" vertical="center"/>
    </xf>
    <xf numFmtId="166" fontId="8" fillId="0" borderId="1" xfId="1" applyNumberFormat="1" applyFont="1" applyBorder="1" applyAlignment="1">
      <alignment vertical="center"/>
    </xf>
    <xf numFmtId="165" fontId="8" fillId="0" borderId="1" xfId="1" applyNumberFormat="1" applyFont="1" applyBorder="1" applyAlignment="1">
      <alignment vertical="center"/>
    </xf>
    <xf numFmtId="165" fontId="8" fillId="0" borderId="1" xfId="0" applyNumberFormat="1" applyFont="1" applyBorder="1" applyAlignment="1">
      <alignment horizontal="right" vertical="center" wrapText="1"/>
    </xf>
    <xf numFmtId="168" fontId="6" fillId="0" borderId="0" xfId="0" applyNumberFormat="1" applyFont="1"/>
    <xf numFmtId="0" fontId="13" fillId="0" borderId="1" xfId="0" applyFont="1" applyBorder="1" applyAlignment="1">
      <alignment horizontal="justify" vertical="center" wrapText="1"/>
    </xf>
    <xf numFmtId="164" fontId="13" fillId="0" borderId="2" xfId="1" applyFont="1" applyBorder="1" applyAlignment="1">
      <alignment horizontal="center" vertical="center" wrapText="1"/>
    </xf>
    <xf numFmtId="164" fontId="13" fillId="0" borderId="7" xfId="1" applyFont="1" applyBorder="1" applyAlignment="1">
      <alignment horizontal="center" vertical="center" wrapText="1"/>
    </xf>
    <xf numFmtId="164" fontId="13" fillId="0" borderId="3" xfId="1"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view="pageLayout" topLeftCell="A16" zoomScaleNormal="100" workbookViewId="0">
      <selection sqref="A1:I1"/>
    </sheetView>
  </sheetViews>
  <sheetFormatPr defaultRowHeight="14.25" x14ac:dyDescent="0.2"/>
  <cols>
    <col min="1" max="1" width="5.125" bestFit="1" customWidth="1"/>
    <col min="2" max="2" width="41" customWidth="1"/>
    <col min="3" max="3" width="13.25" customWidth="1"/>
    <col min="4" max="4" width="12.375" customWidth="1"/>
    <col min="5" max="5" width="13.125" customWidth="1"/>
    <col min="6" max="7" width="11.625" bestFit="1" customWidth="1"/>
    <col min="8" max="8" width="12.625" customWidth="1"/>
    <col min="9" max="9" width="11.625" customWidth="1"/>
    <col min="11" max="11" width="11.625" bestFit="1" customWidth="1"/>
    <col min="12" max="12" width="14.25" bestFit="1" customWidth="1"/>
  </cols>
  <sheetData>
    <row r="1" spans="1:11" ht="18.75" x14ac:dyDescent="0.2">
      <c r="A1" s="43" t="s">
        <v>51</v>
      </c>
      <c r="B1" s="43"/>
      <c r="C1" s="43"/>
      <c r="D1" s="43"/>
      <c r="E1" s="43"/>
      <c r="F1" s="43"/>
      <c r="G1" s="43"/>
      <c r="H1" s="43"/>
      <c r="I1" s="43"/>
    </row>
    <row r="2" spans="1:11" ht="10.5" customHeight="1" x14ac:dyDescent="0.2">
      <c r="A2" s="2"/>
      <c r="B2" s="2"/>
      <c r="C2" s="2"/>
      <c r="D2" s="2"/>
      <c r="E2" s="2"/>
      <c r="F2" s="2"/>
      <c r="G2" s="2"/>
      <c r="H2" s="2"/>
      <c r="I2" s="2"/>
    </row>
    <row r="3" spans="1:11" ht="17.25" customHeight="1" x14ac:dyDescent="0.2">
      <c r="A3" s="32" t="s">
        <v>52</v>
      </c>
      <c r="B3" s="32"/>
      <c r="C3" s="32"/>
      <c r="D3" s="32"/>
      <c r="E3" s="32"/>
      <c r="F3" s="32"/>
      <c r="G3" s="32"/>
      <c r="H3" s="32"/>
      <c r="I3" s="32"/>
    </row>
    <row r="4" spans="1:11" ht="40.5" customHeight="1" x14ac:dyDescent="0.2">
      <c r="A4" s="33" t="s">
        <v>59</v>
      </c>
      <c r="B4" s="33"/>
      <c r="C4" s="33"/>
      <c r="D4" s="33"/>
      <c r="E4" s="33"/>
      <c r="F4" s="33"/>
      <c r="G4" s="33"/>
      <c r="H4" s="33"/>
      <c r="I4" s="33"/>
    </row>
    <row r="5" spans="1:11" s="1" customFormat="1" ht="14.25" customHeight="1" x14ac:dyDescent="0.2">
      <c r="A5"/>
      <c r="B5"/>
      <c r="C5"/>
      <c r="D5"/>
      <c r="E5"/>
      <c r="F5"/>
      <c r="G5"/>
      <c r="H5"/>
      <c r="I5"/>
    </row>
    <row r="6" spans="1:11" s="1" customFormat="1" ht="15.75" customHeight="1" x14ac:dyDescent="0.2">
      <c r="A6" s="29" t="s">
        <v>4</v>
      </c>
      <c r="B6" s="34" t="s">
        <v>0</v>
      </c>
      <c r="C6" s="37" t="s">
        <v>17</v>
      </c>
      <c r="D6" s="38"/>
      <c r="E6" s="38"/>
      <c r="F6" s="38"/>
      <c r="G6" s="38"/>
      <c r="H6" s="39"/>
      <c r="I6" s="29" t="s">
        <v>1</v>
      </c>
    </row>
    <row r="7" spans="1:11" s="1" customFormat="1" ht="15.75" customHeight="1" x14ac:dyDescent="0.2">
      <c r="A7" s="30"/>
      <c r="B7" s="35"/>
      <c r="C7" s="40" t="s">
        <v>18</v>
      </c>
      <c r="D7" s="42" t="s">
        <v>20</v>
      </c>
      <c r="E7" s="42"/>
      <c r="F7" s="42"/>
      <c r="G7" s="42"/>
      <c r="H7" s="42"/>
      <c r="I7" s="30"/>
    </row>
    <row r="8" spans="1:11" s="1" customFormat="1" ht="49.5" customHeight="1" x14ac:dyDescent="0.2">
      <c r="A8" s="31"/>
      <c r="B8" s="36"/>
      <c r="C8" s="41"/>
      <c r="D8" s="10" t="s">
        <v>21</v>
      </c>
      <c r="E8" s="10" t="s">
        <v>22</v>
      </c>
      <c r="F8" s="10" t="s">
        <v>23</v>
      </c>
      <c r="G8" s="10" t="s">
        <v>24</v>
      </c>
      <c r="H8" s="10" t="s">
        <v>25</v>
      </c>
      <c r="I8" s="31"/>
    </row>
    <row r="9" spans="1:11" ht="33.75" customHeight="1" x14ac:dyDescent="0.25">
      <c r="A9" s="10"/>
      <c r="B9" s="11" t="s">
        <v>14</v>
      </c>
      <c r="C9" s="12">
        <f>C10+C25+C40</f>
        <v>160545</v>
      </c>
      <c r="D9" s="12">
        <f t="shared" ref="D9:H9" si="0">D10+D25+D40</f>
        <v>5442</v>
      </c>
      <c r="E9" s="12">
        <f t="shared" si="0"/>
        <v>108940</v>
      </c>
      <c r="F9" s="12">
        <f t="shared" si="0"/>
        <v>11993</v>
      </c>
      <c r="G9" s="12">
        <f t="shared" si="0"/>
        <v>15371</v>
      </c>
      <c r="H9" s="12">
        <f t="shared" si="0"/>
        <v>18799</v>
      </c>
      <c r="I9" s="13"/>
      <c r="K9" s="8"/>
    </row>
    <row r="10" spans="1:11" ht="32.25" customHeight="1" x14ac:dyDescent="0.25">
      <c r="A10" s="14" t="s">
        <v>36</v>
      </c>
      <c r="B10" s="15" t="s">
        <v>35</v>
      </c>
      <c r="C10" s="16">
        <f>C11+C14+C15+C19+C12</f>
        <v>129325</v>
      </c>
      <c r="D10" s="16">
        <f t="shared" ref="D10:H10" si="1">D11+D14+D15+D19+D12</f>
        <v>2302</v>
      </c>
      <c r="E10" s="16">
        <f t="shared" si="1"/>
        <v>104315</v>
      </c>
      <c r="F10" s="16">
        <f t="shared" si="1"/>
        <v>5883</v>
      </c>
      <c r="G10" s="16">
        <f t="shared" si="1"/>
        <v>7616</v>
      </c>
      <c r="H10" s="16">
        <f t="shared" si="1"/>
        <v>9209</v>
      </c>
      <c r="I10" s="17"/>
      <c r="K10" s="9"/>
    </row>
    <row r="11" spans="1:11" s="4" customFormat="1" ht="47.25" x14ac:dyDescent="0.25">
      <c r="A11" s="14">
        <v>1</v>
      </c>
      <c r="B11" s="15" t="s">
        <v>16</v>
      </c>
      <c r="C11" s="18">
        <f>8000*0.03</f>
        <v>240</v>
      </c>
      <c r="D11" s="18">
        <f>1400*0.03</f>
        <v>42</v>
      </c>
      <c r="E11" s="18">
        <f>1500*0.03</f>
        <v>45</v>
      </c>
      <c r="F11" s="18">
        <f>1600*0.03</f>
        <v>48</v>
      </c>
      <c r="G11" s="18">
        <f>1700*0.03</f>
        <v>51</v>
      </c>
      <c r="H11" s="18">
        <f>C11-SUM(D11:G11)</f>
        <v>54</v>
      </c>
      <c r="I11" s="7" t="s">
        <v>2</v>
      </c>
    </row>
    <row r="12" spans="1:11" s="4" customFormat="1" ht="15.75" x14ac:dyDescent="0.25">
      <c r="A12" s="14">
        <v>2</v>
      </c>
      <c r="B12" s="15" t="s">
        <v>53</v>
      </c>
      <c r="C12" s="19">
        <f>C13</f>
        <v>100000</v>
      </c>
      <c r="D12" s="19"/>
      <c r="E12" s="18">
        <f>E13</f>
        <v>100000</v>
      </c>
      <c r="F12" s="18"/>
      <c r="G12" s="18"/>
      <c r="H12" s="18"/>
      <c r="I12" s="7"/>
    </row>
    <row r="13" spans="1:11" s="3" customFormat="1" ht="15.75" x14ac:dyDescent="0.2">
      <c r="A13" s="20"/>
      <c r="B13" s="5" t="s">
        <v>54</v>
      </c>
      <c r="C13" s="21">
        <f>E13</f>
        <v>100000</v>
      </c>
      <c r="D13" s="21"/>
      <c r="E13" s="22">
        <v>100000</v>
      </c>
      <c r="F13" s="22"/>
      <c r="G13" s="22"/>
      <c r="H13" s="22"/>
      <c r="I13" s="7" t="s">
        <v>55</v>
      </c>
    </row>
    <row r="14" spans="1:11" s="4" customFormat="1" ht="47.25" x14ac:dyDescent="0.25">
      <c r="A14" s="14">
        <v>3</v>
      </c>
      <c r="B14" s="15" t="s">
        <v>19</v>
      </c>
      <c r="C14" s="18">
        <f>SUM(D14:H14)</f>
        <v>18750</v>
      </c>
      <c r="D14" s="18">
        <f>25*50</f>
        <v>1250</v>
      </c>
      <c r="E14" s="18">
        <f>50*50</f>
        <v>2500</v>
      </c>
      <c r="F14" s="18">
        <f>75*50</f>
        <v>3750</v>
      </c>
      <c r="G14" s="18">
        <f>100*50</f>
        <v>5000</v>
      </c>
      <c r="H14" s="18">
        <f>125*50</f>
        <v>6250</v>
      </c>
      <c r="I14" s="7" t="s">
        <v>2</v>
      </c>
    </row>
    <row r="15" spans="1:11" s="4" customFormat="1" ht="47.25" x14ac:dyDescent="0.25">
      <c r="A15" s="14">
        <v>4</v>
      </c>
      <c r="B15" s="15" t="s">
        <v>26</v>
      </c>
      <c r="C15" s="18">
        <f>SUM(C16:C18)</f>
        <v>2965</v>
      </c>
      <c r="D15" s="18">
        <f t="shared" ref="D15:H15" si="2">SUM(D16:D18)</f>
        <v>255</v>
      </c>
      <c r="E15" s="18">
        <f t="shared" si="2"/>
        <v>435</v>
      </c>
      <c r="F15" s="18">
        <f t="shared" si="2"/>
        <v>615</v>
      </c>
      <c r="G15" s="18">
        <f t="shared" si="2"/>
        <v>795</v>
      </c>
      <c r="H15" s="18">
        <f t="shared" si="2"/>
        <v>865</v>
      </c>
      <c r="I15" s="7" t="s">
        <v>2</v>
      </c>
    </row>
    <row r="16" spans="1:11" ht="15.75" x14ac:dyDescent="0.2">
      <c r="A16" s="20" t="s">
        <v>5</v>
      </c>
      <c r="B16" s="5" t="s">
        <v>27</v>
      </c>
      <c r="C16" s="22">
        <f>SUM(D16:H16)</f>
        <v>450</v>
      </c>
      <c r="D16" s="22">
        <f>10*3</f>
        <v>30</v>
      </c>
      <c r="E16" s="22">
        <f>20*3</f>
        <v>60</v>
      </c>
      <c r="F16" s="22">
        <f>30*3</f>
        <v>90</v>
      </c>
      <c r="G16" s="22">
        <f>40*3</f>
        <v>120</v>
      </c>
      <c r="H16" s="22">
        <f>50*3</f>
        <v>150</v>
      </c>
      <c r="I16" s="7"/>
    </row>
    <row r="17" spans="1:12" ht="15.75" x14ac:dyDescent="0.2">
      <c r="A17" s="20" t="s">
        <v>6</v>
      </c>
      <c r="B17" s="5" t="s">
        <v>28</v>
      </c>
      <c r="C17" s="22">
        <f t="shared" ref="C17:C18" si="3">SUM(D17:H17)</f>
        <v>765</v>
      </c>
      <c r="D17" s="22">
        <f>15*5</f>
        <v>75</v>
      </c>
      <c r="E17" s="22">
        <f>25*5</f>
        <v>125</v>
      </c>
      <c r="F17" s="22">
        <f>35*5</f>
        <v>175</v>
      </c>
      <c r="G17" s="22">
        <f>45*5</f>
        <v>225</v>
      </c>
      <c r="H17" s="22">
        <f>55*3</f>
        <v>165</v>
      </c>
      <c r="I17" s="7"/>
    </row>
    <row r="18" spans="1:12" ht="15.75" x14ac:dyDescent="0.2">
      <c r="A18" s="20" t="s">
        <v>7</v>
      </c>
      <c r="B18" s="5" t="s">
        <v>29</v>
      </c>
      <c r="C18" s="22">
        <f t="shared" si="3"/>
        <v>1750</v>
      </c>
      <c r="D18" s="22">
        <f>15*10</f>
        <v>150</v>
      </c>
      <c r="E18" s="22">
        <f>25*10</f>
        <v>250</v>
      </c>
      <c r="F18" s="22">
        <f>35*10</f>
        <v>350</v>
      </c>
      <c r="G18" s="22">
        <f>45*10</f>
        <v>450</v>
      </c>
      <c r="H18" s="22">
        <f>55*10</f>
        <v>550</v>
      </c>
      <c r="I18" s="7"/>
    </row>
    <row r="19" spans="1:12" ht="15.75" x14ac:dyDescent="0.2">
      <c r="A19" s="14">
        <v>5</v>
      </c>
      <c r="B19" s="15" t="s">
        <v>30</v>
      </c>
      <c r="C19" s="18">
        <f>SUM(C20:C24)</f>
        <v>7370</v>
      </c>
      <c r="D19" s="18">
        <f t="shared" ref="D19:H19" si="4">SUM(D20:D24)</f>
        <v>755</v>
      </c>
      <c r="E19" s="18">
        <f t="shared" si="4"/>
        <v>1335</v>
      </c>
      <c r="F19" s="18">
        <f t="shared" si="4"/>
        <v>1470</v>
      </c>
      <c r="G19" s="18">
        <f t="shared" si="4"/>
        <v>1770</v>
      </c>
      <c r="H19" s="18">
        <f t="shared" si="4"/>
        <v>2040</v>
      </c>
      <c r="I19" s="7"/>
    </row>
    <row r="20" spans="1:12" s="3" customFormat="1" ht="15.75" customHeight="1" x14ac:dyDescent="0.2">
      <c r="A20" s="20" t="s">
        <v>5</v>
      </c>
      <c r="B20" s="5" t="s">
        <v>31</v>
      </c>
      <c r="C20" s="22">
        <f>SUM(D20:H20)</f>
        <v>1710</v>
      </c>
      <c r="D20" s="22">
        <f>6*30</f>
        <v>180</v>
      </c>
      <c r="E20" s="22">
        <f>10*30</f>
        <v>300</v>
      </c>
      <c r="F20" s="22">
        <f t="shared" ref="F20:F23" si="5">12*30</f>
        <v>360</v>
      </c>
      <c r="G20" s="22">
        <f>14*30</f>
        <v>420</v>
      </c>
      <c r="H20" s="22">
        <f>15*30</f>
        <v>450</v>
      </c>
      <c r="I20" s="26" t="s">
        <v>68</v>
      </c>
    </row>
    <row r="21" spans="1:12" s="3" customFormat="1" ht="15.75" x14ac:dyDescent="0.2">
      <c r="A21" s="20" t="s">
        <v>6</v>
      </c>
      <c r="B21" s="5" t="s">
        <v>32</v>
      </c>
      <c r="C21" s="22">
        <f t="shared" ref="C21:C24" si="6">SUM(D21:H21)</f>
        <v>1050</v>
      </c>
      <c r="D21" s="22">
        <f>4*35</f>
        <v>140</v>
      </c>
      <c r="E21" s="22">
        <f>5*35</f>
        <v>175</v>
      </c>
      <c r="F21" s="22">
        <f>6*35</f>
        <v>210</v>
      </c>
      <c r="G21" s="22">
        <f>7*35</f>
        <v>245</v>
      </c>
      <c r="H21" s="22">
        <f>8*35</f>
        <v>280</v>
      </c>
      <c r="I21" s="27"/>
    </row>
    <row r="22" spans="1:12" s="3" customFormat="1" ht="15.75" x14ac:dyDescent="0.2">
      <c r="A22" s="20" t="s">
        <v>7</v>
      </c>
      <c r="B22" s="5" t="s">
        <v>33</v>
      </c>
      <c r="C22" s="22">
        <f t="shared" si="6"/>
        <v>1200</v>
      </c>
      <c r="D22" s="22">
        <f>4*40</f>
        <v>160</v>
      </c>
      <c r="E22" s="22">
        <f>5*40</f>
        <v>200</v>
      </c>
      <c r="F22" s="22">
        <f>6*40</f>
        <v>240</v>
      </c>
      <c r="G22" s="22">
        <f>7*40</f>
        <v>280</v>
      </c>
      <c r="H22" s="22">
        <f>8*40</f>
        <v>320</v>
      </c>
      <c r="I22" s="27"/>
    </row>
    <row r="23" spans="1:12" s="3" customFormat="1" ht="47.25" customHeight="1" x14ac:dyDescent="0.2">
      <c r="A23" s="20" t="s">
        <v>8</v>
      </c>
      <c r="B23" s="5" t="s">
        <v>34</v>
      </c>
      <c r="C23" s="22">
        <f t="shared" si="6"/>
        <v>1860</v>
      </c>
      <c r="D23" s="22">
        <f>5*30</f>
        <v>150</v>
      </c>
      <c r="E23" s="22">
        <f t="shared" ref="E23" si="7">12*30</f>
        <v>360</v>
      </c>
      <c r="F23" s="22">
        <f t="shared" si="5"/>
        <v>360</v>
      </c>
      <c r="G23" s="22">
        <f t="shared" ref="G23" si="8">15*30</f>
        <v>450</v>
      </c>
      <c r="H23" s="22">
        <f t="shared" ref="H23" si="9">18*30</f>
        <v>540</v>
      </c>
      <c r="I23" s="28"/>
      <c r="L23" s="6"/>
    </row>
    <row r="24" spans="1:12" s="3" customFormat="1" ht="47.25" x14ac:dyDescent="0.2">
      <c r="A24" s="20" t="s">
        <v>57</v>
      </c>
      <c r="B24" s="25" t="s">
        <v>67</v>
      </c>
      <c r="C24" s="22">
        <f t="shared" si="6"/>
        <v>1550</v>
      </c>
      <c r="D24" s="22">
        <f>25*5</f>
        <v>125</v>
      </c>
      <c r="E24" s="22">
        <f>12*25</f>
        <v>300</v>
      </c>
      <c r="F24" s="22">
        <f>12*25</f>
        <v>300</v>
      </c>
      <c r="G24" s="22">
        <f>15*25</f>
        <v>375</v>
      </c>
      <c r="H24" s="22">
        <f>18*25</f>
        <v>450</v>
      </c>
      <c r="I24" s="7" t="s">
        <v>60</v>
      </c>
      <c r="K24" s="24"/>
      <c r="L24" s="6"/>
    </row>
    <row r="25" spans="1:12" ht="31.5" x14ac:dyDescent="0.2">
      <c r="A25" s="14" t="s">
        <v>37</v>
      </c>
      <c r="B25" s="15" t="s">
        <v>39</v>
      </c>
      <c r="C25" s="18">
        <f>C26+C32+C34+C37</f>
        <v>18295</v>
      </c>
      <c r="D25" s="18">
        <f t="shared" ref="D25:H25" si="10">D26+D32+D34+D37</f>
        <v>1275</v>
      </c>
      <c r="E25" s="18">
        <f t="shared" si="10"/>
        <v>2400</v>
      </c>
      <c r="F25" s="18">
        <f t="shared" si="10"/>
        <v>3525</v>
      </c>
      <c r="G25" s="18">
        <f t="shared" si="10"/>
        <v>4810</v>
      </c>
      <c r="H25" s="18">
        <f t="shared" si="10"/>
        <v>6285</v>
      </c>
      <c r="I25" s="7"/>
    </row>
    <row r="26" spans="1:12" ht="78.75" x14ac:dyDescent="0.2">
      <c r="A26" s="20">
        <v>1</v>
      </c>
      <c r="B26" s="5" t="s">
        <v>56</v>
      </c>
      <c r="C26" s="22">
        <f t="shared" ref="C26:H26" si="11">SUM(C27:C31)</f>
        <v>5250</v>
      </c>
      <c r="D26" s="22">
        <f t="shared" si="11"/>
        <v>450</v>
      </c>
      <c r="E26" s="22">
        <f t="shared" si="11"/>
        <v>750</v>
      </c>
      <c r="F26" s="22">
        <f t="shared" si="11"/>
        <v>1050</v>
      </c>
      <c r="G26" s="22">
        <f t="shared" si="11"/>
        <v>1350</v>
      </c>
      <c r="H26" s="22">
        <f t="shared" si="11"/>
        <v>1650</v>
      </c>
      <c r="I26" s="7" t="s">
        <v>3</v>
      </c>
    </row>
    <row r="27" spans="1:12" ht="63" x14ac:dyDescent="0.2">
      <c r="A27" s="20" t="s">
        <v>5</v>
      </c>
      <c r="B27" s="5" t="s">
        <v>61</v>
      </c>
      <c r="C27" s="23">
        <f>35*20*2</f>
        <v>1400</v>
      </c>
      <c r="D27" s="22">
        <f>3*20*2</f>
        <v>120</v>
      </c>
      <c r="E27" s="22">
        <f>5*20*2</f>
        <v>200</v>
      </c>
      <c r="F27" s="22">
        <f>7*20*2</f>
        <v>280</v>
      </c>
      <c r="G27" s="22">
        <f>9*20*2</f>
        <v>360</v>
      </c>
      <c r="H27" s="22">
        <f>11*20*2</f>
        <v>440</v>
      </c>
      <c r="I27" s="7"/>
    </row>
    <row r="28" spans="1:12" ht="47.25" x14ac:dyDescent="0.2">
      <c r="A28" s="20" t="s">
        <v>6</v>
      </c>
      <c r="B28" s="5" t="s">
        <v>62</v>
      </c>
      <c r="C28" s="23">
        <f>35*20*2</f>
        <v>1400</v>
      </c>
      <c r="D28" s="22">
        <f>3*20*2</f>
        <v>120</v>
      </c>
      <c r="E28" s="22">
        <f>5*20*2</f>
        <v>200</v>
      </c>
      <c r="F28" s="22">
        <f>7*20*2</f>
        <v>280</v>
      </c>
      <c r="G28" s="22">
        <f>9*20*2</f>
        <v>360</v>
      </c>
      <c r="H28" s="22">
        <f>11*20*2</f>
        <v>440</v>
      </c>
      <c r="I28" s="7"/>
    </row>
    <row r="29" spans="1:12" ht="78.75" x14ac:dyDescent="0.2">
      <c r="A29" s="20" t="s">
        <v>7</v>
      </c>
      <c r="B29" s="5" t="s">
        <v>63</v>
      </c>
      <c r="C29" s="23">
        <f>35*50</f>
        <v>1750</v>
      </c>
      <c r="D29" s="22">
        <f>3*50</f>
        <v>150</v>
      </c>
      <c r="E29" s="22">
        <f>5*50</f>
        <v>250</v>
      </c>
      <c r="F29" s="22">
        <f>7*50</f>
        <v>350</v>
      </c>
      <c r="G29" s="22">
        <f>9*50</f>
        <v>450</v>
      </c>
      <c r="H29" s="22">
        <f>11*50</f>
        <v>550</v>
      </c>
      <c r="I29" s="7"/>
    </row>
    <row r="30" spans="1:12" ht="63" x14ac:dyDescent="0.2">
      <c r="A30" s="20" t="s">
        <v>8</v>
      </c>
      <c r="B30" s="5" t="s">
        <v>9</v>
      </c>
      <c r="C30" s="23">
        <f>35*10</f>
        <v>350</v>
      </c>
      <c r="D30" s="22">
        <f>3*10</f>
        <v>30</v>
      </c>
      <c r="E30" s="22">
        <f>5*10</f>
        <v>50</v>
      </c>
      <c r="F30" s="22">
        <f>7*10</f>
        <v>70</v>
      </c>
      <c r="G30" s="22">
        <f>9*10</f>
        <v>90</v>
      </c>
      <c r="H30" s="22">
        <f>11*10</f>
        <v>110</v>
      </c>
      <c r="I30" s="7"/>
    </row>
    <row r="31" spans="1:12" s="3" customFormat="1" ht="63" x14ac:dyDescent="0.2">
      <c r="A31" s="20" t="s">
        <v>57</v>
      </c>
      <c r="B31" s="5" t="s">
        <v>15</v>
      </c>
      <c r="C31" s="23">
        <f>35*10</f>
        <v>350</v>
      </c>
      <c r="D31" s="22">
        <f>3*10</f>
        <v>30</v>
      </c>
      <c r="E31" s="22">
        <f>5*10</f>
        <v>50</v>
      </c>
      <c r="F31" s="22">
        <f>7*10</f>
        <v>70</v>
      </c>
      <c r="G31" s="22">
        <f>9*10</f>
        <v>90</v>
      </c>
      <c r="H31" s="22">
        <f>11*10</f>
        <v>110</v>
      </c>
      <c r="I31" s="7"/>
    </row>
    <row r="32" spans="1:12" s="3" customFormat="1" ht="47.25" x14ac:dyDescent="0.2">
      <c r="A32" s="20">
        <v>2</v>
      </c>
      <c r="B32" s="5" t="s">
        <v>10</v>
      </c>
      <c r="C32" s="22">
        <f>C33</f>
        <v>3500</v>
      </c>
      <c r="D32" s="22">
        <f t="shared" ref="D32:H32" si="12">D33</f>
        <v>300</v>
      </c>
      <c r="E32" s="22">
        <f t="shared" si="12"/>
        <v>500</v>
      </c>
      <c r="F32" s="22">
        <f t="shared" si="12"/>
        <v>700</v>
      </c>
      <c r="G32" s="22">
        <f t="shared" si="12"/>
        <v>900</v>
      </c>
      <c r="H32" s="22">
        <f t="shared" si="12"/>
        <v>1100</v>
      </c>
      <c r="I32" s="7" t="s">
        <v>3</v>
      </c>
    </row>
    <row r="33" spans="1:11" ht="63" x14ac:dyDescent="0.2">
      <c r="A33" s="14"/>
      <c r="B33" s="5" t="s">
        <v>40</v>
      </c>
      <c r="C33" s="22">
        <f>35*100</f>
        <v>3500</v>
      </c>
      <c r="D33" s="22">
        <f>3*100</f>
        <v>300</v>
      </c>
      <c r="E33" s="22">
        <f>5*100</f>
        <v>500</v>
      </c>
      <c r="F33" s="22">
        <f>7*100</f>
        <v>700</v>
      </c>
      <c r="G33" s="22">
        <f>9*100</f>
        <v>900</v>
      </c>
      <c r="H33" s="22">
        <f>11*100</f>
        <v>1100</v>
      </c>
      <c r="I33" s="7"/>
    </row>
    <row r="34" spans="1:11" s="3" customFormat="1" ht="31.5" x14ac:dyDescent="0.2">
      <c r="A34" s="20">
        <v>3</v>
      </c>
      <c r="B34" s="5" t="s">
        <v>11</v>
      </c>
      <c r="C34" s="22">
        <f>C35+C36</f>
        <v>2500</v>
      </c>
      <c r="D34" s="22">
        <f t="shared" ref="D34:H34" si="13">D35+D36</f>
        <v>450</v>
      </c>
      <c r="E34" s="22">
        <f t="shared" si="13"/>
        <v>470</v>
      </c>
      <c r="F34" s="22">
        <f t="shared" si="13"/>
        <v>500</v>
      </c>
      <c r="G34" s="22">
        <f t="shared" si="13"/>
        <v>520</v>
      </c>
      <c r="H34" s="22">
        <f t="shared" si="13"/>
        <v>560</v>
      </c>
      <c r="I34" s="7"/>
    </row>
    <row r="35" spans="1:11" ht="110.25" x14ac:dyDescent="0.2">
      <c r="A35" s="20" t="s">
        <v>5</v>
      </c>
      <c r="B35" s="5" t="s">
        <v>12</v>
      </c>
      <c r="C35" s="22">
        <f>50*10</f>
        <v>500</v>
      </c>
      <c r="D35" s="22">
        <f>5*10</f>
        <v>50</v>
      </c>
      <c r="E35" s="22">
        <f>7*10</f>
        <v>70</v>
      </c>
      <c r="F35" s="22">
        <f>10*10</f>
        <v>100</v>
      </c>
      <c r="G35" s="22">
        <f>12*10</f>
        <v>120</v>
      </c>
      <c r="H35" s="22">
        <f>16*10</f>
        <v>160</v>
      </c>
      <c r="I35" s="7" t="s">
        <v>66</v>
      </c>
      <c r="K35">
        <f>500/35</f>
        <v>14.285714285714286</v>
      </c>
    </row>
    <row r="36" spans="1:11" s="3" customFormat="1" ht="110.25" x14ac:dyDescent="0.2">
      <c r="A36" s="20" t="s">
        <v>6</v>
      </c>
      <c r="B36" s="5" t="s">
        <v>64</v>
      </c>
      <c r="C36" s="22">
        <f>50*20+5*200</f>
        <v>2000</v>
      </c>
      <c r="D36" s="22">
        <f>C36/5</f>
        <v>400</v>
      </c>
      <c r="E36" s="22">
        <f>D36</f>
        <v>400</v>
      </c>
      <c r="F36" s="22">
        <f t="shared" ref="F36:H36" si="14">E36</f>
        <v>400</v>
      </c>
      <c r="G36" s="22">
        <f t="shared" si="14"/>
        <v>400</v>
      </c>
      <c r="H36" s="22">
        <f t="shared" si="14"/>
        <v>400</v>
      </c>
      <c r="I36" s="7" t="s">
        <v>66</v>
      </c>
    </row>
    <row r="37" spans="1:11" ht="47.25" x14ac:dyDescent="0.2">
      <c r="A37" s="20">
        <v>4</v>
      </c>
      <c r="B37" s="5" t="s">
        <v>13</v>
      </c>
      <c r="C37" s="22">
        <f>SUM(C38:C39)</f>
        <v>7045</v>
      </c>
      <c r="D37" s="22">
        <f t="shared" ref="D37:H37" si="15">SUM(D38:D39)</f>
        <v>75</v>
      </c>
      <c r="E37" s="22">
        <f t="shared" si="15"/>
        <v>680</v>
      </c>
      <c r="F37" s="22">
        <f t="shared" si="15"/>
        <v>1275</v>
      </c>
      <c r="G37" s="22">
        <f t="shared" si="15"/>
        <v>2040</v>
      </c>
      <c r="H37" s="22">
        <f t="shared" si="15"/>
        <v>2975</v>
      </c>
      <c r="I37" s="7" t="s">
        <v>2</v>
      </c>
    </row>
    <row r="38" spans="1:11" ht="31.5" x14ac:dyDescent="0.2">
      <c r="A38" s="20" t="s">
        <v>5</v>
      </c>
      <c r="B38" s="5" t="s">
        <v>41</v>
      </c>
      <c r="C38" s="22">
        <f>SUM(D38:H38)</f>
        <v>2125</v>
      </c>
      <c r="D38" s="22">
        <f>3*25</f>
        <v>75</v>
      </c>
      <c r="E38" s="22">
        <f>(35-11-9-7)*25</f>
        <v>200</v>
      </c>
      <c r="F38" s="22">
        <f>(35-11-9)*25</f>
        <v>375</v>
      </c>
      <c r="G38" s="22">
        <f>(35-11)*25</f>
        <v>600</v>
      </c>
      <c r="H38" s="22">
        <f>35*25</f>
        <v>875</v>
      </c>
      <c r="I38" s="7"/>
    </row>
    <row r="39" spans="1:11" ht="78.75" x14ac:dyDescent="0.2">
      <c r="A39" s="20" t="s">
        <v>6</v>
      </c>
      <c r="B39" s="5" t="s">
        <v>42</v>
      </c>
      <c r="C39" s="22">
        <f>SUM(D39:H39)</f>
        <v>4920</v>
      </c>
      <c r="D39" s="18">
        <v>0</v>
      </c>
      <c r="E39" s="22">
        <f>(35-11-9-7)*5*12</f>
        <v>480</v>
      </c>
      <c r="F39" s="22">
        <f>(35-11-9)*5*12</f>
        <v>900</v>
      </c>
      <c r="G39" s="22">
        <f>(35-11)*5*12</f>
        <v>1440</v>
      </c>
      <c r="H39" s="22">
        <f>35*5*12</f>
        <v>2100</v>
      </c>
      <c r="I39" s="7"/>
    </row>
    <row r="40" spans="1:11" ht="31.5" x14ac:dyDescent="0.2">
      <c r="A40" s="14" t="s">
        <v>38</v>
      </c>
      <c r="B40" s="15" t="s">
        <v>65</v>
      </c>
      <c r="C40" s="18">
        <f>C41+C43+C46+C49</f>
        <v>12925</v>
      </c>
      <c r="D40" s="18">
        <f t="shared" ref="D40:H40" si="16">D41+D43+D46+D49</f>
        <v>1865</v>
      </c>
      <c r="E40" s="18">
        <f t="shared" si="16"/>
        <v>2225</v>
      </c>
      <c r="F40" s="18">
        <f t="shared" si="16"/>
        <v>2585</v>
      </c>
      <c r="G40" s="18">
        <f t="shared" si="16"/>
        <v>2945</v>
      </c>
      <c r="H40" s="18">
        <f t="shared" si="16"/>
        <v>3305</v>
      </c>
      <c r="I40" s="7"/>
    </row>
    <row r="41" spans="1:11" ht="47.25" x14ac:dyDescent="0.2">
      <c r="A41" s="20">
        <v>1</v>
      </c>
      <c r="B41" s="5" t="s">
        <v>43</v>
      </c>
      <c r="C41" s="22">
        <f>C42</f>
        <v>1350</v>
      </c>
      <c r="D41" s="22">
        <f t="shared" ref="D41:H41" si="17">D42</f>
        <v>150</v>
      </c>
      <c r="E41" s="22">
        <f t="shared" si="17"/>
        <v>210</v>
      </c>
      <c r="F41" s="22">
        <f t="shared" si="17"/>
        <v>270</v>
      </c>
      <c r="G41" s="22">
        <f t="shared" si="17"/>
        <v>330</v>
      </c>
      <c r="H41" s="22">
        <f t="shared" si="17"/>
        <v>390</v>
      </c>
      <c r="I41" s="7" t="s">
        <v>66</v>
      </c>
    </row>
    <row r="42" spans="1:11" ht="78.75" x14ac:dyDescent="0.2">
      <c r="A42" s="20"/>
      <c r="B42" s="5" t="s">
        <v>44</v>
      </c>
      <c r="C42" s="22">
        <f>45*30</f>
        <v>1350</v>
      </c>
      <c r="D42" s="22">
        <f>5*30</f>
        <v>150</v>
      </c>
      <c r="E42" s="22">
        <f>7*30</f>
        <v>210</v>
      </c>
      <c r="F42" s="22">
        <f>9*30</f>
        <v>270</v>
      </c>
      <c r="G42" s="22">
        <f>11*30</f>
        <v>330</v>
      </c>
      <c r="H42" s="22">
        <f>13*30</f>
        <v>390</v>
      </c>
      <c r="I42" s="7"/>
    </row>
    <row r="43" spans="1:11" s="3" customFormat="1" ht="31.5" x14ac:dyDescent="0.2">
      <c r="A43" s="20">
        <v>2</v>
      </c>
      <c r="B43" s="5" t="s">
        <v>45</v>
      </c>
      <c r="C43" s="22">
        <f>C44+C45</f>
        <v>6750</v>
      </c>
      <c r="D43" s="22">
        <f t="shared" ref="D43:H43" si="18">D44+D45</f>
        <v>750</v>
      </c>
      <c r="E43" s="22">
        <f t="shared" si="18"/>
        <v>1050</v>
      </c>
      <c r="F43" s="22">
        <f t="shared" si="18"/>
        <v>1350</v>
      </c>
      <c r="G43" s="22">
        <f t="shared" si="18"/>
        <v>1650</v>
      </c>
      <c r="H43" s="22">
        <f t="shared" si="18"/>
        <v>1950</v>
      </c>
      <c r="I43" s="7" t="s">
        <v>66</v>
      </c>
    </row>
    <row r="44" spans="1:11" ht="47.25" x14ac:dyDescent="0.2">
      <c r="A44" s="20" t="s">
        <v>5</v>
      </c>
      <c r="B44" s="5" t="s">
        <v>46</v>
      </c>
      <c r="C44" s="22">
        <f>45*50</f>
        <v>2250</v>
      </c>
      <c r="D44" s="22">
        <f>5*50</f>
        <v>250</v>
      </c>
      <c r="E44" s="22">
        <f>7*50</f>
        <v>350</v>
      </c>
      <c r="F44" s="22">
        <f>9*50</f>
        <v>450</v>
      </c>
      <c r="G44" s="22">
        <f>11*50</f>
        <v>550</v>
      </c>
      <c r="H44" s="22">
        <f>13*50</f>
        <v>650</v>
      </c>
      <c r="I44" s="7"/>
    </row>
    <row r="45" spans="1:11" s="3" customFormat="1" ht="78.75" x14ac:dyDescent="0.2">
      <c r="A45" s="20" t="s">
        <v>6</v>
      </c>
      <c r="B45" s="5" t="s">
        <v>47</v>
      </c>
      <c r="C45" s="22">
        <f>45*100</f>
        <v>4500</v>
      </c>
      <c r="D45" s="22">
        <f>5*100</f>
        <v>500</v>
      </c>
      <c r="E45" s="22">
        <f>7*100</f>
        <v>700</v>
      </c>
      <c r="F45" s="22">
        <f>9*100</f>
        <v>900</v>
      </c>
      <c r="G45" s="22">
        <f>11*100</f>
        <v>1100</v>
      </c>
      <c r="H45" s="22">
        <f>13*100</f>
        <v>1300</v>
      </c>
      <c r="I45" s="7"/>
    </row>
    <row r="46" spans="1:11" s="3" customFormat="1" ht="31.5" x14ac:dyDescent="0.2">
      <c r="A46" s="20">
        <v>3</v>
      </c>
      <c r="B46" s="5" t="s">
        <v>48</v>
      </c>
      <c r="C46" s="22">
        <f>C47+C48</f>
        <v>2125</v>
      </c>
      <c r="D46" s="22">
        <f t="shared" ref="D46:H46" si="19">D47+D48</f>
        <v>425</v>
      </c>
      <c r="E46" s="22">
        <f t="shared" si="19"/>
        <v>425</v>
      </c>
      <c r="F46" s="22">
        <f t="shared" si="19"/>
        <v>425</v>
      </c>
      <c r="G46" s="22">
        <f t="shared" si="19"/>
        <v>425</v>
      </c>
      <c r="H46" s="22">
        <f t="shared" si="19"/>
        <v>425</v>
      </c>
      <c r="I46" s="7" t="s">
        <v>66</v>
      </c>
    </row>
    <row r="47" spans="1:11" ht="63" x14ac:dyDescent="0.2">
      <c r="A47" s="20" t="s">
        <v>5</v>
      </c>
      <c r="B47" s="5" t="s">
        <v>69</v>
      </c>
      <c r="C47" s="22">
        <f>45*5</f>
        <v>225</v>
      </c>
      <c r="D47" s="22">
        <f>C47/5</f>
        <v>45</v>
      </c>
      <c r="E47" s="22">
        <f>D47</f>
        <v>45</v>
      </c>
      <c r="F47" s="22">
        <f t="shared" ref="F47:H48" si="20">E47</f>
        <v>45</v>
      </c>
      <c r="G47" s="22">
        <f t="shared" si="20"/>
        <v>45</v>
      </c>
      <c r="H47" s="22">
        <f t="shared" si="20"/>
        <v>45</v>
      </c>
      <c r="I47" s="7"/>
    </row>
    <row r="48" spans="1:11" ht="110.25" x14ac:dyDescent="0.2">
      <c r="A48" s="20" t="s">
        <v>6</v>
      </c>
      <c r="B48" s="5" t="s">
        <v>64</v>
      </c>
      <c r="C48" s="22">
        <f>45*20+5*200</f>
        <v>1900</v>
      </c>
      <c r="D48" s="22">
        <f>C48/5</f>
        <v>380</v>
      </c>
      <c r="E48" s="22">
        <f>D48</f>
        <v>380</v>
      </c>
      <c r="F48" s="22">
        <f t="shared" si="20"/>
        <v>380</v>
      </c>
      <c r="G48" s="22">
        <f t="shared" si="20"/>
        <v>380</v>
      </c>
      <c r="H48" s="22">
        <f t="shared" si="20"/>
        <v>380</v>
      </c>
      <c r="I48" s="7"/>
    </row>
    <row r="49" spans="1:9" ht="63" x14ac:dyDescent="0.2">
      <c r="A49" s="20">
        <v>4</v>
      </c>
      <c r="B49" s="5" t="s">
        <v>58</v>
      </c>
      <c r="C49" s="22">
        <f t="shared" ref="C49:H49" si="21">SUM(C50:C52)</f>
        <v>2700</v>
      </c>
      <c r="D49" s="22">
        <f t="shared" si="21"/>
        <v>540</v>
      </c>
      <c r="E49" s="22">
        <f t="shared" si="21"/>
        <v>540</v>
      </c>
      <c r="F49" s="22">
        <f t="shared" si="21"/>
        <v>540</v>
      </c>
      <c r="G49" s="22">
        <f t="shared" si="21"/>
        <v>540</v>
      </c>
      <c r="H49" s="22">
        <f t="shared" si="21"/>
        <v>540</v>
      </c>
      <c r="I49" s="7" t="s">
        <v>3</v>
      </c>
    </row>
    <row r="50" spans="1:9" ht="63" x14ac:dyDescent="0.2">
      <c r="A50" s="20" t="s">
        <v>5</v>
      </c>
      <c r="B50" s="5" t="s">
        <v>9</v>
      </c>
      <c r="C50" s="22">
        <f>45*10</f>
        <v>450</v>
      </c>
      <c r="D50" s="22">
        <f>C50/5</f>
        <v>90</v>
      </c>
      <c r="E50" s="22">
        <f>D50</f>
        <v>90</v>
      </c>
      <c r="F50" s="22">
        <f t="shared" ref="F50:H50" si="22">E50</f>
        <v>90</v>
      </c>
      <c r="G50" s="22">
        <f t="shared" si="22"/>
        <v>90</v>
      </c>
      <c r="H50" s="22">
        <f t="shared" si="22"/>
        <v>90</v>
      </c>
      <c r="I50" s="7"/>
    </row>
    <row r="51" spans="1:9" ht="47.25" x14ac:dyDescent="0.2">
      <c r="A51" s="20" t="s">
        <v>6</v>
      </c>
      <c r="B51" s="5" t="s">
        <v>49</v>
      </c>
      <c r="C51" s="22">
        <f>C50</f>
        <v>450</v>
      </c>
      <c r="D51" s="22">
        <f t="shared" ref="D51:H51" si="23">D50</f>
        <v>90</v>
      </c>
      <c r="E51" s="22">
        <f t="shared" si="23"/>
        <v>90</v>
      </c>
      <c r="F51" s="22">
        <f t="shared" si="23"/>
        <v>90</v>
      </c>
      <c r="G51" s="22">
        <f t="shared" si="23"/>
        <v>90</v>
      </c>
      <c r="H51" s="22">
        <f t="shared" si="23"/>
        <v>90</v>
      </c>
      <c r="I51" s="7"/>
    </row>
    <row r="52" spans="1:9" ht="63" x14ac:dyDescent="0.2">
      <c r="A52" s="20" t="s">
        <v>7</v>
      </c>
      <c r="B52" s="5" t="s">
        <v>50</v>
      </c>
      <c r="C52" s="22">
        <f>45*20*2</f>
        <v>1800</v>
      </c>
      <c r="D52" s="22">
        <f>C52/5</f>
        <v>360</v>
      </c>
      <c r="E52" s="22">
        <f>D52</f>
        <v>360</v>
      </c>
      <c r="F52" s="22">
        <f t="shared" ref="F52:H52" si="24">E52</f>
        <v>360</v>
      </c>
      <c r="G52" s="22">
        <f t="shared" si="24"/>
        <v>360</v>
      </c>
      <c r="H52" s="22">
        <f t="shared" si="24"/>
        <v>360</v>
      </c>
      <c r="I52" s="7"/>
    </row>
  </sheetData>
  <mergeCells count="10">
    <mergeCell ref="I20:I23"/>
    <mergeCell ref="I6:I8"/>
    <mergeCell ref="A1:I1"/>
    <mergeCell ref="A3:I3"/>
    <mergeCell ref="A4:I4"/>
    <mergeCell ref="B6:B8"/>
    <mergeCell ref="A6:A8"/>
    <mergeCell ref="C6:H6"/>
    <mergeCell ref="C7:C8"/>
    <mergeCell ref="D7:H7"/>
  </mergeCells>
  <pageMargins left="0.43" right="0.31496062992125984" top="0.74803149606299213" bottom="0.74803149606299213" header="0.31496062992125984" footer="0.31496062992125984"/>
  <pageSetup paperSize="9" scale="91" orientation="landscape" verticalDpi="300" r:id="rId1"/>
  <headerFooter>
    <oddFooter>&amp;CTrang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PLuc</vt:lpstr>
      <vt:lpstr>PLuc!Print_Titles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MyPC</cp:lastModifiedBy>
  <cp:lastPrinted>2021-01-22T04:34:50Z</cp:lastPrinted>
  <dcterms:created xsi:type="dcterms:W3CDTF">2020-02-04T09:14:31Z</dcterms:created>
  <dcterms:modified xsi:type="dcterms:W3CDTF">2021-01-22T04:35:10Z</dcterms:modified>
</cp:coreProperties>
</file>